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20" activeTab="21"/>
  </bookViews>
  <sheets>
    <sheet name="Лист54" sheetId="1" r:id="rId1"/>
    <sheet name="Русская тяга проф. 200 кг." sheetId="2" r:id="rId2"/>
    <sheet name="Русская тяга проф. 100 кг." sheetId="3" r:id="rId3"/>
    <sheet name="Русская тяга люб. 100 кг." sheetId="4" r:id="rId4"/>
    <sheet name="Русская тяга люб. 75 кг." sheetId="5" r:id="rId5"/>
    <sheet name="РЖ любители 100 кг." sheetId="6" r:id="rId6"/>
    <sheet name="РЖ любители 55 кг." sheetId="7" r:id="rId7"/>
    <sheet name="РЖ Проф 125 кг." sheetId="8" r:id="rId8"/>
    <sheet name="РЖ Проф 55 кг." sheetId="9" r:id="rId9"/>
    <sheet name="Пауэрспорт Профессионалы" sheetId="10" r:id="rId10"/>
    <sheet name="Пауэрспорт Любители" sheetId="11" r:id="rId11"/>
    <sheet name="Бицепс Любители" sheetId="12" r:id="rId12"/>
    <sheet name="Жим стоя Профессионалы" sheetId="13" r:id="rId13"/>
    <sheet name="Проф. народный жим 1 вес" sheetId="14" r:id="rId14"/>
    <sheet name="Люб. народный жим 1_2 вес" sheetId="15" r:id="rId15"/>
    <sheet name="Двоеборье люб" sheetId="16" r:id="rId16"/>
    <sheet name="ПРО тяга б.э." sheetId="17" r:id="rId17"/>
    <sheet name="Люб. тяга б.э." sheetId="18" r:id="rId18"/>
    <sheet name="ПРО жим софт 1 петельная" sheetId="19" r:id="rId19"/>
    <sheet name="ПРО жим б.э." sheetId="20" r:id="rId20"/>
    <sheet name="Люб. жим б.э." sheetId="21" r:id="rId21"/>
    <sheet name="ПРО ПЛ. б.э." sheetId="22" r:id="rId22"/>
    <sheet name="Люб. ПЛ. б.э." sheetId="23" r:id="rId23"/>
    <sheet name="Люб. ПЛ. 1.петельная софт" sheetId="24" r:id="rId24"/>
  </sheets>
  <definedNames/>
  <calcPr fullCalcOnLoad="1" refMode="R1C1"/>
</workbook>
</file>

<file path=xl/sharedStrings.xml><?xml version="1.0" encoding="utf-8"?>
<sst xmlns="http://schemas.openxmlformats.org/spreadsheetml/2006/main" count="2763" uniqueCount="826">
  <si>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</si>
  <si>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</si>
  <si>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</si>
  <si>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</si>
  <si>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</si>
  <si>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</si>
  <si>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</si>
  <si>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</si>
  <si>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</si>
  <si>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</si>
  <si>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</si>
  <si>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</si>
  <si>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</si>
  <si>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</si>
  <si>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</si>
  <si>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</si>
  <si>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</si>
  <si>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</si>
  <si>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</si>
  <si>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Shv/Mel</t>
  </si>
  <si>
    <t>Приседание</t>
  </si>
  <si>
    <t>Жим лёжа</t>
  </si>
  <si>
    <t>Становая тяга</t>
  </si>
  <si>
    <t>ВЕСОВАЯ КАТЕГОРИЯ   75</t>
  </si>
  <si>
    <t>Сафронова Дарья</t>
  </si>
  <si>
    <t>1. Сафронова Дарья</t>
  </si>
  <si>
    <t>Девушки 18 - 19 (14.01.2001)/18</t>
  </si>
  <si>
    <t>70,90</t>
  </si>
  <si>
    <t xml:space="preserve">Вайнс </t>
  </si>
  <si>
    <t xml:space="preserve">Кемерово/Кемеровская область </t>
  </si>
  <si>
    <t>80,0</t>
  </si>
  <si>
    <t>90,0</t>
  </si>
  <si>
    <t>100,0</t>
  </si>
  <si>
    <t>65,0</t>
  </si>
  <si>
    <t>72,5</t>
  </si>
  <si>
    <t>85,0</t>
  </si>
  <si>
    <t>95,0</t>
  </si>
  <si>
    <t xml:space="preserve">Хоронжак И 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</si>
  <si>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</si>
  <si>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</si>
  <si>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</si>
  <si>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</si>
  <si>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</si>
  <si>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</si>
  <si>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</si>
  <si>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18 - 19 </t>
  </si>
  <si>
    <t>75</t>
  </si>
  <si>
    <t>275,0</t>
  </si>
  <si>
    <t>219,0914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</si>
  <si>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</si>
  <si>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</si>
  <si>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</si>
  <si>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</si>
  <si>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</si>
  <si>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 xml:space="preserve">Сафронова Дарья </t>
  </si>
  <si>
    <t>ВЕСОВАЯ КАТЕГОРИЯ   44</t>
  </si>
  <si>
    <t>Федотова Мария</t>
  </si>
  <si>
    <t>1. Федотова Мария</t>
  </si>
  <si>
    <t>Девушки 0-13 (11.12.2009)/10</t>
  </si>
  <si>
    <t>26,00</t>
  </si>
  <si>
    <t xml:space="preserve">лично </t>
  </si>
  <si>
    <t xml:space="preserve">Белово/Кемеровская область </t>
  </si>
  <si>
    <t>20,0</t>
  </si>
  <si>
    <t>25,0</t>
  </si>
  <si>
    <t>27,5</t>
  </si>
  <si>
    <t>12,5</t>
  </si>
  <si>
    <t>15,0</t>
  </si>
  <si>
    <t>17,5</t>
  </si>
  <si>
    <t>30,0</t>
  </si>
  <si>
    <t>32,5</t>
  </si>
  <si>
    <t>35,0</t>
  </si>
  <si>
    <t xml:space="preserve">Зубан Т </t>
  </si>
  <si>
    <t>ВЕСОВАЯ КАТЕГОРИЯ   52</t>
  </si>
  <si>
    <t>Рудь Александра</t>
  </si>
  <si>
    <t>1. Рудь Александра</t>
  </si>
  <si>
    <t>Открытая (24.04.1987)/32</t>
  </si>
  <si>
    <t>52,00</t>
  </si>
  <si>
    <t xml:space="preserve">Strong Bears </t>
  </si>
  <si>
    <t xml:space="preserve">Томск/Томская область </t>
  </si>
  <si>
    <t>52,5</t>
  </si>
  <si>
    <t>55,0</t>
  </si>
  <si>
    <t>60,0</t>
  </si>
  <si>
    <t>105,0</t>
  </si>
  <si>
    <t>110,0</t>
  </si>
  <si>
    <t>115,0</t>
  </si>
  <si>
    <t xml:space="preserve">Рудь Д </t>
  </si>
  <si>
    <t>ВЕСОВАЯ КАТЕГОРИЯ   56</t>
  </si>
  <si>
    <t>Труфанова Анастасия</t>
  </si>
  <si>
    <t>1. Труфанова Анастасия</t>
  </si>
  <si>
    <t>Юниорки 20 - 23 (18.06.1999)/20</t>
  </si>
  <si>
    <t>55,20</t>
  </si>
  <si>
    <t xml:space="preserve">Железное Братство </t>
  </si>
  <si>
    <t>62,5</t>
  </si>
  <si>
    <t>67,5</t>
  </si>
  <si>
    <t>40,0</t>
  </si>
  <si>
    <t>42,5</t>
  </si>
  <si>
    <t xml:space="preserve">Хлыбов В </t>
  </si>
  <si>
    <t>Герасимова Анастасия</t>
  </si>
  <si>
    <t>1. Герасимова Анастасия</t>
  </si>
  <si>
    <t>Открытая (29.07.1986)/33</t>
  </si>
  <si>
    <t>54,20</t>
  </si>
  <si>
    <t xml:space="preserve">Веселые ребята </t>
  </si>
  <si>
    <t>75,0</t>
  </si>
  <si>
    <t>45,0</t>
  </si>
  <si>
    <t>97,5</t>
  </si>
  <si>
    <t xml:space="preserve">Черняков Т.Сэ </t>
  </si>
  <si>
    <t>ВЕСОВАЯ КАТЕГОРИЯ   60</t>
  </si>
  <si>
    <t>Шевелёва Ирина</t>
  </si>
  <si>
    <t>1. Шевелёва Ирина</t>
  </si>
  <si>
    <t>Юниорки 20 - 23 (24.06.1999)/20</t>
  </si>
  <si>
    <t>59,50</t>
  </si>
  <si>
    <t>77,5</t>
  </si>
  <si>
    <t>37,5</t>
  </si>
  <si>
    <t>70,0</t>
  </si>
  <si>
    <t>ВЕСОВАЯ КАТЕГОРИЯ   67.5</t>
  </si>
  <si>
    <t>Аманова Арина</t>
  </si>
  <si>
    <t>1. Аманова Арина</t>
  </si>
  <si>
    <t>Девушки 14-15 (16.08.2005)/14</t>
  </si>
  <si>
    <t>64,90</t>
  </si>
  <si>
    <t xml:space="preserve">Ижморская ДЮСШ </t>
  </si>
  <si>
    <t xml:space="preserve">Ижморский/Кемеровская </t>
  </si>
  <si>
    <t>50,0</t>
  </si>
  <si>
    <t>82,5</t>
  </si>
  <si>
    <t xml:space="preserve">Иванов А.В </t>
  </si>
  <si>
    <t>ВЕСОВАЯ КАТЕГОРИЯ   90+</t>
  </si>
  <si>
    <t>Симонова Татьяна</t>
  </si>
  <si>
    <t>1. Симонова Татьяна</t>
  </si>
  <si>
    <t>Юниорки 20 - 23 (04.08.1999)/20</t>
  </si>
  <si>
    <t>118,00</t>
  </si>
  <si>
    <t>150,0</t>
  </si>
  <si>
    <t>160,0</t>
  </si>
  <si>
    <t>165,0</t>
  </si>
  <si>
    <t>140,0</t>
  </si>
  <si>
    <t>157,5</t>
  </si>
  <si>
    <t xml:space="preserve">Ефременко В.Н, </t>
  </si>
  <si>
    <t>Богер Иван</t>
  </si>
  <si>
    <t>1. Богер Иван</t>
  </si>
  <si>
    <t>Юноши 0-13 (13.03.2006)/13</t>
  </si>
  <si>
    <t>51,50</t>
  </si>
  <si>
    <t>47,5</t>
  </si>
  <si>
    <t>Рымзин Никита</t>
  </si>
  <si>
    <t>2. Рымзин Никита</t>
  </si>
  <si>
    <t>Юноши 0-13 (28.12.2005)/13</t>
  </si>
  <si>
    <t>50,00</t>
  </si>
  <si>
    <t>92,5</t>
  </si>
  <si>
    <t xml:space="preserve">Черняков Т </t>
  </si>
  <si>
    <t>Прусов Никита</t>
  </si>
  <si>
    <t>3. Прусов Никита</t>
  </si>
  <si>
    <t>Юноши 0-13 (03.06.2006)/13</t>
  </si>
  <si>
    <t>45,50</t>
  </si>
  <si>
    <t xml:space="preserve">Успех </t>
  </si>
  <si>
    <t>57,5</t>
  </si>
  <si>
    <t xml:space="preserve">Корыстин Д </t>
  </si>
  <si>
    <t>Шипачев Сергей</t>
  </si>
  <si>
    <t>4. Шипачев Сергей</t>
  </si>
  <si>
    <t>Юноши 0-13 (07.12.2006)/13</t>
  </si>
  <si>
    <t>51,00</t>
  </si>
  <si>
    <t>Кривопалов Виталий</t>
  </si>
  <si>
    <t>1. Кривопалов Виталий</t>
  </si>
  <si>
    <t>Юноши 16 - 17 (29.08.2002)/17</t>
  </si>
  <si>
    <t>56,00</t>
  </si>
  <si>
    <t>107,5</t>
  </si>
  <si>
    <t>Бреднев Максим</t>
  </si>
  <si>
    <t>1. Бреднев Максим</t>
  </si>
  <si>
    <t>Юноши 16 - 17 (16.06.2003)/16</t>
  </si>
  <si>
    <t>Диль Артем</t>
  </si>
  <si>
    <t>1. Диль Артем</t>
  </si>
  <si>
    <t>Юноши 0-13 (24.08.2006)/13</t>
  </si>
  <si>
    <t>62,30</t>
  </si>
  <si>
    <t>87,5</t>
  </si>
  <si>
    <t>Петров Тимофей</t>
  </si>
  <si>
    <t>2. Петров Тимофей</t>
  </si>
  <si>
    <t>Юноши 0-13 (05.05.2006)/13</t>
  </si>
  <si>
    <t>66,00</t>
  </si>
  <si>
    <t>Одышев Иван</t>
  </si>
  <si>
    <t>1. Одышев Иван</t>
  </si>
  <si>
    <t>Открытая (05.10.1982)/37</t>
  </si>
  <si>
    <t>66,10</t>
  </si>
  <si>
    <t>112,5</t>
  </si>
  <si>
    <t>145,0</t>
  </si>
  <si>
    <t>152,5</t>
  </si>
  <si>
    <t xml:space="preserve">Степанов И </t>
  </si>
  <si>
    <t>Прощенко Иван</t>
  </si>
  <si>
    <t>1. Прощенко Иван</t>
  </si>
  <si>
    <t>Юноши 14-15 (04.02.2004)/15</t>
  </si>
  <si>
    <t>71,10</t>
  </si>
  <si>
    <t xml:space="preserve">Анжеро-Судженск/Кемеровская область </t>
  </si>
  <si>
    <t>130,0</t>
  </si>
  <si>
    <t xml:space="preserve">Зевякин И </t>
  </si>
  <si>
    <t>Волощук Александр</t>
  </si>
  <si>
    <t>1. Волощук Александр</t>
  </si>
  <si>
    <t>Юноши 18 - 19 (03.06.2001)/18</t>
  </si>
  <si>
    <t>69,40</t>
  </si>
  <si>
    <t>120,0</t>
  </si>
  <si>
    <t>125,0</t>
  </si>
  <si>
    <t>Галкин Данил</t>
  </si>
  <si>
    <t>2. Галкин Данил</t>
  </si>
  <si>
    <t>Юноши 18 - 19 (03.01.2001)/18</t>
  </si>
  <si>
    <t>70,00</t>
  </si>
  <si>
    <t>Иванов Андрей</t>
  </si>
  <si>
    <t>1. Иванов Андрей</t>
  </si>
  <si>
    <t>Юниоры 20 - 23 (25.08.1996)/23</t>
  </si>
  <si>
    <t>69,20</t>
  </si>
  <si>
    <t>175,0</t>
  </si>
  <si>
    <t>177,5</t>
  </si>
  <si>
    <t xml:space="preserve"> </t>
  </si>
  <si>
    <t>ВЕСОВАЯ КАТЕГОРИЯ   82.5</t>
  </si>
  <si>
    <t>Кононов Никита</t>
  </si>
  <si>
    <t>1. Кононов Никита</t>
  </si>
  <si>
    <t>Юноши 16 - 17 (11.11.2002)/17</t>
  </si>
  <si>
    <t>82,50</t>
  </si>
  <si>
    <t>167,5</t>
  </si>
  <si>
    <t>180,0</t>
  </si>
  <si>
    <t>190,0</t>
  </si>
  <si>
    <t>220,0</t>
  </si>
  <si>
    <t>230,0</t>
  </si>
  <si>
    <t>Холопов Денис</t>
  </si>
  <si>
    <t>1. Холопов Денис</t>
  </si>
  <si>
    <t>Открытая (03.03.1983)/36</t>
  </si>
  <si>
    <t>82,00</t>
  </si>
  <si>
    <t>182,5</t>
  </si>
  <si>
    <t>195,0</t>
  </si>
  <si>
    <t>Родиков Максим</t>
  </si>
  <si>
    <t>2. Родиков Максим</t>
  </si>
  <si>
    <t>Открытая (19.03.1991)/28</t>
  </si>
  <si>
    <t>80,10</t>
  </si>
  <si>
    <t>172,5</t>
  </si>
  <si>
    <t>170,0</t>
  </si>
  <si>
    <t>Курининов Владимир</t>
  </si>
  <si>
    <t>1. Курининов Владимир</t>
  </si>
  <si>
    <t>Мастера 50 - 54 (25.12.1965)/53</t>
  </si>
  <si>
    <t xml:space="preserve">Новокузнецк/Кемеровская область </t>
  </si>
  <si>
    <t xml:space="preserve">Меньшинин А.В. </t>
  </si>
  <si>
    <t>ВЕСОВАЯ КАТЕГОРИЯ   90</t>
  </si>
  <si>
    <t>Каштанов Виталий</t>
  </si>
  <si>
    <t>1. Каштанов Виталий</t>
  </si>
  <si>
    <t>Открытая (20.06.1996)/23</t>
  </si>
  <si>
    <t>89,50</t>
  </si>
  <si>
    <t xml:space="preserve">Берёзовский/Кемеровская область </t>
  </si>
  <si>
    <t>200,0</t>
  </si>
  <si>
    <t>207,5</t>
  </si>
  <si>
    <t>155,0</t>
  </si>
  <si>
    <t>240,0</t>
  </si>
  <si>
    <t>250,0</t>
  </si>
  <si>
    <t>262,5</t>
  </si>
  <si>
    <t>Буйнов Виталий</t>
  </si>
  <si>
    <t>2. Буйнов Виталий</t>
  </si>
  <si>
    <t>Открытая (05.02.1982)/37</t>
  </si>
  <si>
    <t>89,70</t>
  </si>
  <si>
    <t>142,5</t>
  </si>
  <si>
    <t>210,0</t>
  </si>
  <si>
    <t>ВЕСОВАЯ КАТЕГОРИЯ   100</t>
  </si>
  <si>
    <t>Савельев Виктор</t>
  </si>
  <si>
    <t>1. Савельев Виктор</t>
  </si>
  <si>
    <t>Открытая (09.03.1993)/26</t>
  </si>
  <si>
    <t>98,90</t>
  </si>
  <si>
    <t xml:space="preserve">Осинники/Кемеровская область </t>
  </si>
  <si>
    <t>ВЕСОВАЯ КАТЕГОРИЯ   110</t>
  </si>
  <si>
    <t>Сысолов Денис</t>
  </si>
  <si>
    <t>1. Сысолов Денис</t>
  </si>
  <si>
    <t>Юноши 16 - 17 (10.06.2002)/17</t>
  </si>
  <si>
    <t>104,40</t>
  </si>
  <si>
    <t>102,5</t>
  </si>
  <si>
    <t xml:space="preserve">Юноши 14-15 </t>
  </si>
  <si>
    <t>67.5</t>
  </si>
  <si>
    <t>153,6162</t>
  </si>
  <si>
    <t xml:space="preserve">Юноши 0-13 </t>
  </si>
  <si>
    <t>44</t>
  </si>
  <si>
    <t>113,7990</t>
  </si>
  <si>
    <t xml:space="preserve">Юниорки </t>
  </si>
  <si>
    <t xml:space="preserve">Юниоры 20 - 23 </t>
  </si>
  <si>
    <t>90+</t>
  </si>
  <si>
    <t>405,0</t>
  </si>
  <si>
    <t>233,1034</t>
  </si>
  <si>
    <t>56</t>
  </si>
  <si>
    <t>190,1071</t>
  </si>
  <si>
    <t>60</t>
  </si>
  <si>
    <t>169,6719</t>
  </si>
  <si>
    <t xml:space="preserve">Открытая </t>
  </si>
  <si>
    <t>52</t>
  </si>
  <si>
    <t>265,0</t>
  </si>
  <si>
    <t>256,8777</t>
  </si>
  <si>
    <t>215,0</t>
  </si>
  <si>
    <t>201,4335</t>
  </si>
  <si>
    <t xml:space="preserve">Мужчины </t>
  </si>
  <si>
    <t xml:space="preserve">Юноши </t>
  </si>
  <si>
    <t xml:space="preserve">Юноши 16 - 17 </t>
  </si>
  <si>
    <t>82.5</t>
  </si>
  <si>
    <t>525,0</t>
  </si>
  <si>
    <t>351,1431</t>
  </si>
  <si>
    <t>247,5</t>
  </si>
  <si>
    <t>292,9482</t>
  </si>
  <si>
    <t>110</t>
  </si>
  <si>
    <t>460,0</t>
  </si>
  <si>
    <t>270,6566</t>
  </si>
  <si>
    <t>320,0</t>
  </si>
  <si>
    <t>261,9994</t>
  </si>
  <si>
    <t>205,0</t>
  </si>
  <si>
    <t>251,2927</t>
  </si>
  <si>
    <t>330,0</t>
  </si>
  <si>
    <t>247,7633</t>
  </si>
  <si>
    <t>247,5474</t>
  </si>
  <si>
    <t>255,0</t>
  </si>
  <si>
    <t>236,2542</t>
  </si>
  <si>
    <t>300,0</t>
  </si>
  <si>
    <t>223,5858</t>
  </si>
  <si>
    <t>235,0</t>
  </si>
  <si>
    <t>222,0242</t>
  </si>
  <si>
    <t>192,5196</t>
  </si>
  <si>
    <t>182,2368</t>
  </si>
  <si>
    <t>147,5</t>
  </si>
  <si>
    <t>176,5991</t>
  </si>
  <si>
    <t xml:space="preserve">Юниоры </t>
  </si>
  <si>
    <t>362,5</t>
  </si>
  <si>
    <t>257,4112</t>
  </si>
  <si>
    <t>90</t>
  </si>
  <si>
    <t>612,5</t>
  </si>
  <si>
    <t>359,7213</t>
  </si>
  <si>
    <t>577,5</t>
  </si>
  <si>
    <t>338,7037</t>
  </si>
  <si>
    <t>100</t>
  </si>
  <si>
    <t>560,0</t>
  </si>
  <si>
    <t>311,8080</t>
  </si>
  <si>
    <t>477,5</t>
  </si>
  <si>
    <t>296,9573</t>
  </si>
  <si>
    <t>452,5</t>
  </si>
  <si>
    <t>286,1610</t>
  </si>
  <si>
    <t>352,5</t>
  </si>
  <si>
    <t>260,7795</t>
  </si>
  <si>
    <t xml:space="preserve">Мастера </t>
  </si>
  <si>
    <t xml:space="preserve">Мастера 50 - 54 </t>
  </si>
  <si>
    <t>435,0</t>
  </si>
  <si>
    <t>345,0956</t>
  </si>
  <si>
    <t xml:space="preserve">45(12+12+9+12) </t>
  </si>
  <si>
    <t xml:space="preserve">Одышев Иван, Холопов Денис, Буйнов Виталий, Рудь Александра </t>
  </si>
  <si>
    <t xml:space="preserve">43(12+12+7+12) </t>
  </si>
  <si>
    <t xml:space="preserve">Иванов Андрей, Аманова Арина, Шипачев Сергей, Кривопалов Виталий </t>
  </si>
  <si>
    <t xml:space="preserve">36(12+12+12) </t>
  </si>
  <si>
    <t xml:space="preserve">Прощенко Иван, Кононов Никита, Герасимова Анастасия </t>
  </si>
  <si>
    <t xml:space="preserve">33(9+12+12) </t>
  </si>
  <si>
    <t xml:space="preserve">Галкин Данил, Симонова Татьяна, Труфанова Анастасия </t>
  </si>
  <si>
    <t xml:space="preserve">29(12+8+9) </t>
  </si>
  <si>
    <t xml:space="preserve">Диль Артем, Прусов Никита, Петров Тимофей </t>
  </si>
  <si>
    <t xml:space="preserve">24(12+12) </t>
  </si>
  <si>
    <t xml:space="preserve">Богер Иван, Бреднев Максим </t>
  </si>
  <si>
    <t>Батышев Вячеслав</t>
  </si>
  <si>
    <t>1. Батышев Вячеслав</t>
  </si>
  <si>
    <t>Открытая (29.04.1989)/30</t>
  </si>
  <si>
    <t>104,00</t>
  </si>
  <si>
    <t>187,5</t>
  </si>
  <si>
    <t>260,0</t>
  </si>
  <si>
    <t>282,5</t>
  </si>
  <si>
    <t>682,5</t>
  </si>
  <si>
    <t>372,3037</t>
  </si>
  <si>
    <t xml:space="preserve">Батышев Вячеслав </t>
  </si>
  <si>
    <t>Результат</t>
  </si>
  <si>
    <t>ВЕСОВАЯ КАТЕГОРИЯ   48</t>
  </si>
  <si>
    <t>Черныш Вита</t>
  </si>
  <si>
    <t>1. Черныш Вита</t>
  </si>
  <si>
    <t>Открытая (29.06.1987)/32</t>
  </si>
  <si>
    <t>47,80</t>
  </si>
  <si>
    <t>Мухомедзянова Айгуль</t>
  </si>
  <si>
    <t>1. Мухомедзянова Айгуль</t>
  </si>
  <si>
    <t>Открытая (11.12.1994)/25</t>
  </si>
  <si>
    <t>Колмакова Анастасия</t>
  </si>
  <si>
    <t>1. Колмакова Анастасия</t>
  </si>
  <si>
    <t>Открытая (21.06.1995)/24</t>
  </si>
  <si>
    <t>54,40</t>
  </si>
  <si>
    <t xml:space="preserve">Колесниченко С.Е. </t>
  </si>
  <si>
    <t>Сульянова Марина</t>
  </si>
  <si>
    <t>1. Сульянова Марина</t>
  </si>
  <si>
    <t>Открытая (14.01.1988)/31</t>
  </si>
  <si>
    <t>59,70</t>
  </si>
  <si>
    <t xml:space="preserve">Кочубей Р </t>
  </si>
  <si>
    <t>-. Соколова Оксана</t>
  </si>
  <si>
    <t>Открытая (21.06.1985)/34</t>
  </si>
  <si>
    <t>60,00</t>
  </si>
  <si>
    <t>Клименкова Тамара</t>
  </si>
  <si>
    <t>1. Клименкова Тамара</t>
  </si>
  <si>
    <t>Мастера 60 - 64 (22.05.1959)/60</t>
  </si>
  <si>
    <t>70,30</t>
  </si>
  <si>
    <t>Соболев Дмитрий</t>
  </si>
  <si>
    <t>1. Соболев Дмитрий</t>
  </si>
  <si>
    <t>Юноши 0-13 (15.06.2008)/11</t>
  </si>
  <si>
    <t>40,00</t>
  </si>
  <si>
    <t>Зайнудинов Марат</t>
  </si>
  <si>
    <t>1. Зайнудинов Марат</t>
  </si>
  <si>
    <t>Юноши 14-15 (15.02.2005)/14</t>
  </si>
  <si>
    <t xml:space="preserve">Карлов А.И. </t>
  </si>
  <si>
    <t>Тусалимов Андрей</t>
  </si>
  <si>
    <t>1. Тусалимов Андрей</t>
  </si>
  <si>
    <t>Открытая (10.05.1992)/27</t>
  </si>
  <si>
    <t>55,60</t>
  </si>
  <si>
    <t xml:space="preserve">Железное Братство Спарта </t>
  </si>
  <si>
    <t>Белов Сергей</t>
  </si>
  <si>
    <t>1. Белов Сергей</t>
  </si>
  <si>
    <t>Открытая (05.07.1981)/38</t>
  </si>
  <si>
    <t>63,00</t>
  </si>
  <si>
    <t>117,5</t>
  </si>
  <si>
    <t>122,5</t>
  </si>
  <si>
    <t>Сиков Роман</t>
  </si>
  <si>
    <t>1. Сиков Роман</t>
  </si>
  <si>
    <t>Юноши 14-15 (04.10.2004)/15</t>
  </si>
  <si>
    <t>69,80</t>
  </si>
  <si>
    <t xml:space="preserve">Зубан Я. </t>
  </si>
  <si>
    <t>Паньков Юрий</t>
  </si>
  <si>
    <t>1. Паньков Юрий</t>
  </si>
  <si>
    <t>Открытая (23.07.1987)/32</t>
  </si>
  <si>
    <t>Абдрахманов Сергей</t>
  </si>
  <si>
    <t>2. Абдрахманов Сергей</t>
  </si>
  <si>
    <t>Открытая (17.01.1987)/32</t>
  </si>
  <si>
    <t>71,60</t>
  </si>
  <si>
    <t xml:space="preserve">Чернышев Р </t>
  </si>
  <si>
    <t>Ратченко Александр</t>
  </si>
  <si>
    <t>1. Ратченко Александр</t>
  </si>
  <si>
    <t>Открытая (21.08.1987)/32</t>
  </si>
  <si>
    <t>79,20</t>
  </si>
  <si>
    <t>132,5</t>
  </si>
  <si>
    <t>2. Холопов Денис</t>
  </si>
  <si>
    <t>Лямкин Артем</t>
  </si>
  <si>
    <t>3. Лямкин Артем</t>
  </si>
  <si>
    <t>Открытая (26.11.1991)/28</t>
  </si>
  <si>
    <t>79,00</t>
  </si>
  <si>
    <t>Волошин Владимир</t>
  </si>
  <si>
    <t>4. Волошин Владимир</t>
  </si>
  <si>
    <t>Открытая (04.09.1988)/31</t>
  </si>
  <si>
    <t>Ромадин Евгений</t>
  </si>
  <si>
    <t>1. Ромадин Евгений</t>
  </si>
  <si>
    <t>Мастера 45 - 49 (01.02.1972)/47</t>
  </si>
  <si>
    <t xml:space="preserve">Ганьшин Е </t>
  </si>
  <si>
    <t>1. Буйнов Виталий</t>
  </si>
  <si>
    <t>Бузениус Иван</t>
  </si>
  <si>
    <t>1. Бузениус Иван</t>
  </si>
  <si>
    <t>Юниоры 20 - 23 (04.04.1997)/22</t>
  </si>
  <si>
    <t>100,00</t>
  </si>
  <si>
    <t>137,5</t>
  </si>
  <si>
    <t>Черныш Михаил</t>
  </si>
  <si>
    <t>1. Черныш Михаил</t>
  </si>
  <si>
    <t>Открытая (20.01.1987)/32</t>
  </si>
  <si>
    <t>99,00</t>
  </si>
  <si>
    <t>135,0</t>
  </si>
  <si>
    <t xml:space="preserve">Ефременко В </t>
  </si>
  <si>
    <t>Бухарин Максим</t>
  </si>
  <si>
    <t>2. Бухарин Максим</t>
  </si>
  <si>
    <t>Открытая (30.04.1984)/35</t>
  </si>
  <si>
    <t>93,50</t>
  </si>
  <si>
    <t>Денисов Иван</t>
  </si>
  <si>
    <t>1. Денисов Иван</t>
  </si>
  <si>
    <t>Открытая (27.10.1984)/35</t>
  </si>
  <si>
    <t>108,30</t>
  </si>
  <si>
    <t>Чернышев Артем</t>
  </si>
  <si>
    <t>1. Чернышев Артем</t>
  </si>
  <si>
    <t>Мастера 40 - 44 (28.06.1976)/43</t>
  </si>
  <si>
    <t>109,00</t>
  </si>
  <si>
    <t>ВЕСОВАЯ КАТЕГОРИЯ   125</t>
  </si>
  <si>
    <t>Чахлов Герман</t>
  </si>
  <si>
    <t>1. Чахлов Герман</t>
  </si>
  <si>
    <t>Юноши 18 - 19 (10.03.2001)/18</t>
  </si>
  <si>
    <t>122,80</t>
  </si>
  <si>
    <t>Миронов Юрий</t>
  </si>
  <si>
    <t>1. Миронов Юрий</t>
  </si>
  <si>
    <t>Открытая (30.07.1987)/32</t>
  </si>
  <si>
    <t>123,90</t>
  </si>
  <si>
    <t>48</t>
  </si>
  <si>
    <t>51,8950</t>
  </si>
  <si>
    <t>50,8909</t>
  </si>
  <si>
    <t>43,2325</t>
  </si>
  <si>
    <t>32,6918</t>
  </si>
  <si>
    <t xml:space="preserve">Мастера 60 - 64 </t>
  </si>
  <si>
    <t>37,3160</t>
  </si>
  <si>
    <t>125</t>
  </si>
  <si>
    <t>74,9844</t>
  </si>
  <si>
    <t>70,6914</t>
  </si>
  <si>
    <t>44,6960</t>
  </si>
  <si>
    <t>40,3840</t>
  </si>
  <si>
    <t>76,9368</t>
  </si>
  <si>
    <t>101,3955</t>
  </si>
  <si>
    <t>92,3737</t>
  </si>
  <si>
    <t>90,9568</t>
  </si>
  <si>
    <t>88,8420</t>
  </si>
  <si>
    <t>83,4633</t>
  </si>
  <si>
    <t>82,8880</t>
  </si>
  <si>
    <t>80,8470</t>
  </si>
  <si>
    <t>80,7900</t>
  </si>
  <si>
    <t>80,6925</t>
  </si>
  <si>
    <t>80,1780</t>
  </si>
  <si>
    <t>79,8500</t>
  </si>
  <si>
    <t>75,8643</t>
  </si>
  <si>
    <t>67,2555</t>
  </si>
  <si>
    <t xml:space="preserve">Мастера 45 - 49 </t>
  </si>
  <si>
    <t>80,0698</t>
  </si>
  <si>
    <t xml:space="preserve">Мастера 40 - 44 </t>
  </si>
  <si>
    <t>76,6330</t>
  </si>
  <si>
    <t xml:space="preserve">Миронов Юрий, Бузениус Иван, Холопов Денис, Буйнов Виталий </t>
  </si>
  <si>
    <t xml:space="preserve">Белов Сергей, Паньков Юрий, Ромадин Евгений </t>
  </si>
  <si>
    <t xml:space="preserve">Денисов Иван, Чахлов Герман </t>
  </si>
  <si>
    <t xml:space="preserve">Черныш Вита, Черныш Михаил </t>
  </si>
  <si>
    <t xml:space="preserve">Тусалимов Андрей </t>
  </si>
  <si>
    <t>Ивания Илья</t>
  </si>
  <si>
    <t>1. Ивания Илья</t>
  </si>
  <si>
    <t>Открытая (25.09.1989)/30</t>
  </si>
  <si>
    <t>87,30</t>
  </si>
  <si>
    <t>Корыстин Дмитрий</t>
  </si>
  <si>
    <t>1. Корыстин Дмитрий</t>
  </si>
  <si>
    <t>Открытая (27.06.1979)/40</t>
  </si>
  <si>
    <t>197,5</t>
  </si>
  <si>
    <t>Рудь Дмитрий</t>
  </si>
  <si>
    <t>2. Рудь Дмитрий</t>
  </si>
  <si>
    <t>Открытая (05.03.1989)/30</t>
  </si>
  <si>
    <t>109,30</t>
  </si>
  <si>
    <t>-. Гундарев Сергей</t>
  </si>
  <si>
    <t>Открытая (06.05.1994)/25</t>
  </si>
  <si>
    <t>106,10</t>
  </si>
  <si>
    <t>Мастера 40 - 44 (27.06.1979)/40</t>
  </si>
  <si>
    <t>Степанов Игорь</t>
  </si>
  <si>
    <t>1. Степанов Игорь</t>
  </si>
  <si>
    <t>Открытая (09.04.1989)/30</t>
  </si>
  <si>
    <t>122,50</t>
  </si>
  <si>
    <t>202,5</t>
  </si>
  <si>
    <t>-. Колегов Никита</t>
  </si>
  <si>
    <t>Открытая (07.10.1995)/24</t>
  </si>
  <si>
    <t>106,1957</t>
  </si>
  <si>
    <t>102,2385</t>
  </si>
  <si>
    <t>95,4400</t>
  </si>
  <si>
    <t>88,6545</t>
  </si>
  <si>
    <t xml:space="preserve">Корыстин Дмитрий, Корыстин Дмитрий </t>
  </si>
  <si>
    <t xml:space="preserve">21(9+12) </t>
  </si>
  <si>
    <t xml:space="preserve">Рудь Дмитрий, Степанов Игорь </t>
  </si>
  <si>
    <t>Кудрявцев Александр</t>
  </si>
  <si>
    <t>1. Кудрявцев Александр</t>
  </si>
  <si>
    <t>Открытая (24.12.1990)/28</t>
  </si>
  <si>
    <t>81,40</t>
  </si>
  <si>
    <t xml:space="preserve">Топки/Кемеровская область </t>
  </si>
  <si>
    <t>118,7690</t>
  </si>
  <si>
    <t>Корыстина Екатерина</t>
  </si>
  <si>
    <t>1. Корыстина Екатерина</t>
  </si>
  <si>
    <t>Девушки 14-15 (16.03.2005)/14</t>
  </si>
  <si>
    <t>Герасименко Алена</t>
  </si>
  <si>
    <t>1. Герасименко Алена</t>
  </si>
  <si>
    <t>Открытая (01.08.1986)/33</t>
  </si>
  <si>
    <t>Гельм Ангелина</t>
  </si>
  <si>
    <t>2. Гельм Ангелина</t>
  </si>
  <si>
    <t>Открытая (31.01.1994)/25</t>
  </si>
  <si>
    <t>55,10</t>
  </si>
  <si>
    <t xml:space="preserve">Яшкино/Кемеровская область </t>
  </si>
  <si>
    <t xml:space="preserve">Лемеш В.Ю. </t>
  </si>
  <si>
    <t>Ечменева Анастасия</t>
  </si>
  <si>
    <t>1. Ечменева Анастасия</t>
  </si>
  <si>
    <t>Юниорки 20 - 23 (26.05.1998)/21</t>
  </si>
  <si>
    <t>66,20</t>
  </si>
  <si>
    <t>Карманова Светлана</t>
  </si>
  <si>
    <t>1. Карманова Светлана</t>
  </si>
  <si>
    <t>Мастера 50 - 54 (07.02.1968)/51</t>
  </si>
  <si>
    <t>62,00</t>
  </si>
  <si>
    <t>Корченов Иван</t>
  </si>
  <si>
    <t>1. Корченов Иван</t>
  </si>
  <si>
    <t>Юноши 0-13 (21.02.2008)/11</t>
  </si>
  <si>
    <t>36,70</t>
  </si>
  <si>
    <t>Горяев Богдан</t>
  </si>
  <si>
    <t>2. Горяев Богдан</t>
  </si>
  <si>
    <t>Юноши 0-13 (09.08.2008)/11</t>
  </si>
  <si>
    <t>29,70</t>
  </si>
  <si>
    <t>Едигаров Ринат</t>
  </si>
  <si>
    <t>1. Едигаров Ринат</t>
  </si>
  <si>
    <t>Юноши 0-13 (19.09.2007)/12</t>
  </si>
  <si>
    <t>Новиков Глеб</t>
  </si>
  <si>
    <t>2. Новиков Глеб</t>
  </si>
  <si>
    <t>Юноши 0-13 (28.02.2007)/12</t>
  </si>
  <si>
    <t>Шишлевский Богдан</t>
  </si>
  <si>
    <t>1. Шишлевский Богдан</t>
  </si>
  <si>
    <t>Юноши 16 - 17 (03.12.2003)/16</t>
  </si>
  <si>
    <t>Струнин Леонид</t>
  </si>
  <si>
    <t>1. Струнин Леонид</t>
  </si>
  <si>
    <t>Юноши 18 - 19 (25.10.2001)/18</t>
  </si>
  <si>
    <t xml:space="preserve">Василенко С. </t>
  </si>
  <si>
    <t>Мячин Никита</t>
  </si>
  <si>
    <t>1. Мячин Никита</t>
  </si>
  <si>
    <t>Юноши 16 - 17 (12.01.2002)/17</t>
  </si>
  <si>
    <t>72,00</t>
  </si>
  <si>
    <t>Литвинов Михаил</t>
  </si>
  <si>
    <t>1. Литвинов Михаил</t>
  </si>
  <si>
    <t>Юноши 18 - 19 (10.09.2001)/18</t>
  </si>
  <si>
    <t>Соколов Сергей</t>
  </si>
  <si>
    <t>1. Соколов Сергей</t>
  </si>
  <si>
    <t>Открытая (02.03.1987)/32</t>
  </si>
  <si>
    <t xml:space="preserve">Прокопьевск/Кемеровская область </t>
  </si>
  <si>
    <t>Гайдай Александр</t>
  </si>
  <si>
    <t>2. Гайдай Александр</t>
  </si>
  <si>
    <t>Открытая (18.06.1990)/29</t>
  </si>
  <si>
    <t>80,30</t>
  </si>
  <si>
    <t>Чернышев Роман</t>
  </si>
  <si>
    <t>3. Чернышев Роман</t>
  </si>
  <si>
    <t>Открытая (14.06.1985)/34</t>
  </si>
  <si>
    <t>Михайлов Владимир</t>
  </si>
  <si>
    <t>1. Михайлов Владимир</t>
  </si>
  <si>
    <t>Юноши 18 - 19 (09.03.2000)/19</t>
  </si>
  <si>
    <t xml:space="preserve">Колесников С. </t>
  </si>
  <si>
    <t>Чигридов Сергей</t>
  </si>
  <si>
    <t>1. Чигридов Сергей</t>
  </si>
  <si>
    <t>Открытая (21.11.1985)/34</t>
  </si>
  <si>
    <t>90,00</t>
  </si>
  <si>
    <t>Руднев Сергей</t>
  </si>
  <si>
    <t>1. Руднев Сергей</t>
  </si>
  <si>
    <t>Открытая (24.08.1992)/27</t>
  </si>
  <si>
    <t>99,10</t>
  </si>
  <si>
    <t>270,0</t>
  </si>
  <si>
    <t>Хоронжак Иван</t>
  </si>
  <si>
    <t>2. Хоронжак Иван</t>
  </si>
  <si>
    <t>Открытая (25.04.1982)/37</t>
  </si>
  <si>
    <t>95,50</t>
  </si>
  <si>
    <t>3. Савельев Виктор</t>
  </si>
  <si>
    <t>115,0308</t>
  </si>
  <si>
    <t>80,8146</t>
  </si>
  <si>
    <t>109,4880</t>
  </si>
  <si>
    <t>108,5935</t>
  </si>
  <si>
    <t>95,7990</t>
  </si>
  <si>
    <t>133,5886</t>
  </si>
  <si>
    <t>129,7863</t>
  </si>
  <si>
    <t>122,4626</t>
  </si>
  <si>
    <t>97,5936</t>
  </si>
  <si>
    <t>96,9215</t>
  </si>
  <si>
    <t>95,1864</t>
  </si>
  <si>
    <t>86,1261</t>
  </si>
  <si>
    <t>83,3479</t>
  </si>
  <si>
    <t>80,7680</t>
  </si>
  <si>
    <t>144,6380</t>
  </si>
  <si>
    <t>144,4065</t>
  </si>
  <si>
    <t>128,7660</t>
  </si>
  <si>
    <t>128,0640</t>
  </si>
  <si>
    <t>120,7635</t>
  </si>
  <si>
    <t>118,3500</t>
  </si>
  <si>
    <t>111,4740</t>
  </si>
  <si>
    <t xml:space="preserve">66(9+12+12+9+12+12) </t>
  </si>
  <si>
    <t xml:space="preserve">Новиков Глеб, Мячин Никита, Корченов Иван, Горяев Богдан, Едигаров Ринат, Шишлевский Богдан </t>
  </si>
  <si>
    <t xml:space="preserve">Герасименко Алена, Корыстина Екатерина </t>
  </si>
  <si>
    <t xml:space="preserve">9(9) </t>
  </si>
  <si>
    <t xml:space="preserve">Хоронжак Иван </t>
  </si>
  <si>
    <t>Андренков Станислав</t>
  </si>
  <si>
    <t>1. Андренков Станислав</t>
  </si>
  <si>
    <t>Открытая (08.07.1992)/27</t>
  </si>
  <si>
    <t>82,40</t>
  </si>
  <si>
    <t>Черняков Тимофей</t>
  </si>
  <si>
    <t>1. Черняков Тимофей</t>
  </si>
  <si>
    <t>Открытая (16.12.1993)/26</t>
  </si>
  <si>
    <t>280,0</t>
  </si>
  <si>
    <t>Елагин Сергей</t>
  </si>
  <si>
    <t>1. Елагин Сергей</t>
  </si>
  <si>
    <t>Открытая (18.07.1974)/45</t>
  </si>
  <si>
    <t>90,85</t>
  </si>
  <si>
    <t>Кочубей Роман</t>
  </si>
  <si>
    <t>1. Кочубей Роман</t>
  </si>
  <si>
    <t>Открытая (17.02.1994)/25</t>
  </si>
  <si>
    <t>108,80</t>
  </si>
  <si>
    <t>ВЕСОВАЯ КАТЕГОРИЯ   140</t>
  </si>
  <si>
    <t>Зайцев Валентин</t>
  </si>
  <si>
    <t>1. Зайцев Валентин</t>
  </si>
  <si>
    <t>Открытая (20.05.1992)/27</t>
  </si>
  <si>
    <t>131,70</t>
  </si>
  <si>
    <t>154,9500</t>
  </si>
  <si>
    <t>152,1780</t>
  </si>
  <si>
    <t>140</t>
  </si>
  <si>
    <t>141,0640</t>
  </si>
  <si>
    <t>137,1900</t>
  </si>
  <si>
    <t>116,4200</t>
  </si>
  <si>
    <t xml:space="preserve">Черняков Тимофей </t>
  </si>
  <si>
    <t>Борисов Сергей</t>
  </si>
  <si>
    <t>1. Борисов Сергей</t>
  </si>
  <si>
    <t>Юноши 14-15 (15.04.2005)/14</t>
  </si>
  <si>
    <t>63,30</t>
  </si>
  <si>
    <t>Внуков Данил</t>
  </si>
  <si>
    <t>1. Внуков Данил</t>
  </si>
  <si>
    <t>Юноши 14-15 (11.07.2004)/15</t>
  </si>
  <si>
    <t>71,90</t>
  </si>
  <si>
    <t xml:space="preserve">Промышленная/Кемеровская область </t>
  </si>
  <si>
    <t>Веретенов Данил</t>
  </si>
  <si>
    <t>1. Веретенов Данил</t>
  </si>
  <si>
    <t>Юноши 16 - 17 (25.08.2002)/17</t>
  </si>
  <si>
    <t>72,30</t>
  </si>
  <si>
    <t xml:space="preserve">Ефременко В.Н. </t>
  </si>
  <si>
    <t>287,5</t>
  </si>
  <si>
    <t>212,4752</t>
  </si>
  <si>
    <t>194,6717</t>
  </si>
  <si>
    <t>125,5885</t>
  </si>
  <si>
    <t>360,0</t>
  </si>
  <si>
    <t>210,7080</t>
  </si>
  <si>
    <t>370,0</t>
  </si>
  <si>
    <t>206,0160</t>
  </si>
  <si>
    <t>302,5</t>
  </si>
  <si>
    <t>190,9380</t>
  </si>
  <si>
    <t>305,0</t>
  </si>
  <si>
    <t>188,8865</t>
  </si>
  <si>
    <t xml:space="preserve">Веретенов Данил </t>
  </si>
  <si>
    <t xml:space="preserve">Борисов Сергей </t>
  </si>
  <si>
    <t>Вес</t>
  </si>
  <si>
    <t>Повторы</t>
  </si>
  <si>
    <t>Тоннаж</t>
  </si>
  <si>
    <t>НАП Н.Ж.</t>
  </si>
  <si>
    <t>Народный жим</t>
  </si>
  <si>
    <t>Боровских Елена</t>
  </si>
  <si>
    <t>1. Боровских Елена</t>
  </si>
  <si>
    <t>Открытая (11.04.1982)/37</t>
  </si>
  <si>
    <t>36,0</t>
  </si>
  <si>
    <t>Князев Никита</t>
  </si>
  <si>
    <t>1. Князев Никита</t>
  </si>
  <si>
    <t>Юноши 0-13 (24.08.2012)/7</t>
  </si>
  <si>
    <t>25,00</t>
  </si>
  <si>
    <t>10,0</t>
  </si>
  <si>
    <t>108,0</t>
  </si>
  <si>
    <t xml:space="preserve">Князев А. </t>
  </si>
  <si>
    <t xml:space="preserve">НАП Н.Ж. </t>
  </si>
  <si>
    <t>990,0</t>
  </si>
  <si>
    <t>934,1640</t>
  </si>
  <si>
    <t>1080,0</t>
  </si>
  <si>
    <t>2246,3999</t>
  </si>
  <si>
    <t>26,0</t>
  </si>
  <si>
    <t>2145,0</t>
  </si>
  <si>
    <t>1624,4085</t>
  </si>
  <si>
    <t>Жим стоя</t>
  </si>
  <si>
    <t>87,90</t>
  </si>
  <si>
    <t>68,2985</t>
  </si>
  <si>
    <t>Подъем на бицепс</t>
  </si>
  <si>
    <t>1. Лямкин Артем</t>
  </si>
  <si>
    <t>35,0727</t>
  </si>
  <si>
    <t>35,1340</t>
  </si>
  <si>
    <t>Камнев Илья</t>
  </si>
  <si>
    <t>1. Камнев Илья</t>
  </si>
  <si>
    <t>Мастера 40 - 44 (30.08.1975)/44</t>
  </si>
  <si>
    <t>88,60</t>
  </si>
  <si>
    <t>83,7816</t>
  </si>
  <si>
    <t>86,7720</t>
  </si>
  <si>
    <t>Атлетизм</t>
  </si>
  <si>
    <t>Русский жим</t>
  </si>
  <si>
    <t>ВЕСОВАЯ КАТЕГОРИЯ   All</t>
  </si>
  <si>
    <t>Герасименко Вадим</t>
  </si>
  <si>
    <t>1. Герасименко Вадим</t>
  </si>
  <si>
    <t>Открытая (16.03.1990)/29</t>
  </si>
  <si>
    <t>89,30</t>
  </si>
  <si>
    <t xml:space="preserve">Атлетизм </t>
  </si>
  <si>
    <t>All</t>
  </si>
  <si>
    <t>2750,0</t>
  </si>
  <si>
    <t>30,7950</t>
  </si>
  <si>
    <t xml:space="preserve">Герасименко Вадим </t>
  </si>
  <si>
    <t>Культяпкин Ромарио</t>
  </si>
  <si>
    <t>1. Культяпкин Ромарио</t>
  </si>
  <si>
    <t>Открытая (07.07.1987)/32</t>
  </si>
  <si>
    <t>98,80</t>
  </si>
  <si>
    <t>16,0</t>
  </si>
  <si>
    <t>2000,0</t>
  </si>
  <si>
    <t>20,2429</t>
  </si>
  <si>
    <t xml:space="preserve">Культяпкин Ромарио </t>
  </si>
  <si>
    <t>Областной турнир Siberian Force 4 РЖ и РТ
Русский жим любители 55 кг.
Кемерово/Кемеровская область 21 - 22 декабря 2019 г.</t>
  </si>
  <si>
    <t>Бутенко Павел</t>
  </si>
  <si>
    <t>1. Бутенко Павел</t>
  </si>
  <si>
    <t>Открытая (29.01.1985)/34</t>
  </si>
  <si>
    <t>78,90</t>
  </si>
  <si>
    <t>Князев Алексей</t>
  </si>
  <si>
    <t>2. Князев Алексей</t>
  </si>
  <si>
    <t>Открытая (12.04.1987)/32</t>
  </si>
  <si>
    <t>71,80</t>
  </si>
  <si>
    <t>52,0</t>
  </si>
  <si>
    <t>Малахов Владимир</t>
  </si>
  <si>
    <t>3. Малахов Владимир</t>
  </si>
  <si>
    <t>Открытая (28.09.1988)/31</t>
  </si>
  <si>
    <t>81,30</t>
  </si>
  <si>
    <t>6325,0</t>
  </si>
  <si>
    <t>80,1647</t>
  </si>
  <si>
    <t>2860,0</t>
  </si>
  <si>
    <t>39,8328</t>
  </si>
  <si>
    <t>2475,0</t>
  </si>
  <si>
    <t>30,4428</t>
  </si>
  <si>
    <t xml:space="preserve">Князев Алексей </t>
  </si>
  <si>
    <t xml:space="preserve">8(8) </t>
  </si>
  <si>
    <t xml:space="preserve">Малахов Владимир </t>
  </si>
  <si>
    <t>Николовский Павел</t>
  </si>
  <si>
    <t>1. Николовский Павел</t>
  </si>
  <si>
    <t>Открытая (08.05.1978)/41</t>
  </si>
  <si>
    <t>74,90</t>
  </si>
  <si>
    <t xml:space="preserve">Ленинск-Кузнецкий/Кемеровская область </t>
  </si>
  <si>
    <t>2500,0</t>
  </si>
  <si>
    <t>33,3778</t>
  </si>
  <si>
    <t xml:space="preserve">Николовский Павел </t>
  </si>
  <si>
    <t>Русская становая</t>
  </si>
  <si>
    <t>-. Кальмаева Кристина</t>
  </si>
  <si>
    <t>Открытая (03.11.1995)/24</t>
  </si>
  <si>
    <t>113,30</t>
  </si>
  <si>
    <t>22,0</t>
  </si>
  <si>
    <t>Туркин Александр</t>
  </si>
  <si>
    <t>1. Туркин Александр</t>
  </si>
  <si>
    <t>Открытая (18.08.1986)/33</t>
  </si>
  <si>
    <t>74,20</t>
  </si>
  <si>
    <t>38,0</t>
  </si>
  <si>
    <t>2200,0</t>
  </si>
  <si>
    <t>31,5186</t>
  </si>
  <si>
    <t>3800,0</t>
  </si>
  <si>
    <t>51,2129</t>
  </si>
  <si>
    <t xml:space="preserve">Иванов Андрей </t>
  </si>
  <si>
    <t>Радченко Ольга</t>
  </si>
  <si>
    <t>1. Радченко Ольга</t>
  </si>
  <si>
    <t>Мастера 40 - 44 (31.07.1978)/41</t>
  </si>
  <si>
    <t>69,00</t>
  </si>
  <si>
    <t>28,9855</t>
  </si>
  <si>
    <t xml:space="preserve">Радченко Ольга </t>
  </si>
  <si>
    <t>4000,0</t>
  </si>
  <si>
    <t>48,5436</t>
  </si>
  <si>
    <t>Областной турнир Siberian Force 4 РЖ и РТ
Русская станова тяга профессионалы 200 кг.
Кемерово/Кемеровская область 22 декабря 2019 г.</t>
  </si>
  <si>
    <t>Областной турнир Siberian Force 4 РЖ и РТ
Русская станова тяга профессионалы 100 кг.
Кемерово/Кемеровская область  22 декабря 2019 г.</t>
  </si>
  <si>
    <t>Областной турнир Siberian Force 4 РЖ и РТ
Русская станова тяга любители 100 кг.
Кемерово/Кемеровская область 22 декабря 2019 г.</t>
  </si>
  <si>
    <t>Областной турнир Siberian Force 4 РЖ и РТ
Русская станова тяга любители 75 кг.
Кемерово/Кемеровская область  22 декабря 2019 г.</t>
  </si>
  <si>
    <t>Областной турнир Siberian Force 4 РЖ и РТ
Русский жим любители 100 кг.
Кемерово/Кемеровская область  22 декабря 2019 г.</t>
  </si>
  <si>
    <t>Областной турнир Siberian Force 4 РЖ и РТ
Русский жим профессионалы 125 кг.
Кемерово/Кемеровская область  22 декабря 2019 г.</t>
  </si>
  <si>
    <t>Областной турнир Siberian Force 4 РЖ и РТ
Русский жим профессионалы 55 кг.
Кемерово/Кемеровская область 22 декабря 2019 г.</t>
  </si>
  <si>
    <t>Областной турнир Siberian Force 4 Пауэрспорт
Пауэрспорт Профессионалы
Кемерово/Кемеровская область 22 декабря 2019 г.</t>
  </si>
  <si>
    <t>Областной турнир Siberian Force 4 Пауэрспорт
Пауэрспорт Любители
Кемерово/Кемеровская область 22 декабря 2019 г.</t>
  </si>
  <si>
    <t>Областной турнир Siberian Force 4 Пауэрспорт
Одиночный подъём штанги на бицепс Любители
Кемерово/Кемеровская область  22 декабря 2019 г.</t>
  </si>
  <si>
    <t>Областной турнир Siberian Force 4 Пауэрспорт
Одиночный жим штанги стоя Профессионалы
Кемерово/Кемеровская область 22 декабря 2019 г.</t>
  </si>
  <si>
    <t>Областной турнир Siberian Force 4 НЖ
Профессионалы народный жим (1 вес)
Кемерово/Кемеровская область  22 декабря 2019 г.</t>
  </si>
  <si>
    <t>Областной турнир Siberian Force 4 НЖ
Любители народный жим (1/2 вес)
Кемерово/Кемеровская область 22 декабря 2019 г.</t>
  </si>
  <si>
    <t>Областно турнир Siberin Force 4
Силовое двоеборье любители
Кемерово/Кемеровская область  22 декабря 2019 г.</t>
  </si>
  <si>
    <t>Областно турнир Siberin Force 4
ПРО становая тяга без экипировки
Кемерово/Кемеровская область  22 декабря 2019 г.</t>
  </si>
  <si>
    <t>Областно турнир Siberin Force 4
Любители становая тяга без экипировки
Кемерово/Кемеровская область 22 декабря 2019 г.</t>
  </si>
  <si>
    <t>Областно турнир Siberin Force 4
ПРО жим лежа Софт экипировка однопетельная
Кемерово/Кемеровская область  22 декабря 2019 г.</t>
  </si>
  <si>
    <t>Областно турнир Siberin Force 4
ПРО жим лежа без экипировки
Кемерово/Кемеровская область 22 декабря 2019 г.</t>
  </si>
  <si>
    <t>Областно турнир Siberin Force 4
Любители жим лежа без экипировки
Кемерово/Кемеровская область  22 декабря 2019 г.</t>
  </si>
  <si>
    <t>Областно турнир Siberin Force 4
ПРО пауэрлифтинг без экипировки
Кемерово/Кемеровская область  22 декабря 2019 г.</t>
  </si>
  <si>
    <t>Областно турнир Siberin Force 4
Любители пауэрлифтинг в однопетельной софт экипировке
Кемерово/Кемеровская область 22 декабря 2019 г.</t>
  </si>
  <si>
    <t>Областно турнир Siberin Force 4
Любители пауэрлифтинг без экипировки
Кемерово/Кемеровская область 22 декабря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</si>
</sst>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6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10</v>
      </c>
      <c r="C3" s="46" t="s">
        <v>11</v>
      </c>
      <c r="D3" s="34" t="s">
        <v>9</v>
      </c>
      <c r="E3" s="48" t="s">
        <v>7</v>
      </c>
      <c r="F3" s="48" t="s">
        <v>12</v>
      </c>
      <c r="G3" s="48" t="s">
        <v>1</v>
      </c>
      <c r="H3" s="48"/>
      <c r="I3" s="48"/>
      <c r="J3" s="48"/>
      <c r="K3" s="48" t="s">
        <v>2</v>
      </c>
      <c r="L3" s="48"/>
      <c r="M3" s="48"/>
      <c r="N3" s="48"/>
      <c r="O3" s="48" t="s">
        <v>3</v>
      </c>
      <c r="P3" s="48"/>
      <c r="Q3" s="48"/>
      <c r="R3" s="48"/>
      <c r="S3" s="34" t="s">
        <v>4</v>
      </c>
      <c r="T3" s="34" t="s">
        <v>6</v>
      </c>
      <c r="U3" s="36" t="s">
        <v>5</v>
      </c>
    </row>
    <row r="4" spans="1:21" s="1" customFormat="1" ht="21" customHeight="1" thickBot="1">
      <c r="A4" s="45"/>
      <c r="B4" s="47"/>
      <c r="C4" s="47"/>
      <c r="D4" s="35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35"/>
      <c r="T4" s="35"/>
      <c r="U4" s="37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51" t="s">
        <v>811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717</v>
      </c>
      <c r="H3" s="48"/>
      <c r="I3" s="48"/>
      <c r="J3" s="48"/>
      <c r="K3" s="48" t="s">
        <v>720</v>
      </c>
      <c r="L3" s="48"/>
      <c r="M3" s="48"/>
      <c r="N3" s="48"/>
      <c r="O3" s="48" t="s">
        <v>4</v>
      </c>
      <c r="P3" s="48" t="s">
        <v>6</v>
      </c>
      <c r="Q3" s="36" t="s">
        <v>5</v>
      </c>
    </row>
    <row r="4" spans="1:17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7"/>
      <c r="P4" s="47"/>
      <c r="Q4" s="37"/>
    </row>
    <row r="5" spans="1:16" ht="15">
      <c r="A5" s="49" t="s">
        <v>206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2.75">
      <c r="A6" s="10" t="s">
        <v>638</v>
      </c>
      <c r="B6" s="10" t="s">
        <v>639</v>
      </c>
      <c r="C6" s="10" t="s">
        <v>640</v>
      </c>
      <c r="D6" s="10" t="str">
        <f>"0,6198"</f>
        <v>0,6198</v>
      </c>
      <c r="E6" s="10" t="s">
        <v>60</v>
      </c>
      <c r="F6" s="10" t="s">
        <v>29</v>
      </c>
      <c r="G6" s="11" t="s">
        <v>121</v>
      </c>
      <c r="H6" s="11" t="s">
        <v>81</v>
      </c>
      <c r="I6" s="11" t="s">
        <v>113</v>
      </c>
      <c r="J6" s="12"/>
      <c r="K6" s="11" t="s">
        <v>94</v>
      </c>
      <c r="L6" s="11" t="s">
        <v>80</v>
      </c>
      <c r="M6" s="11" t="s">
        <v>113</v>
      </c>
      <c r="N6" s="12"/>
      <c r="O6" s="10" t="str">
        <f>"140,0"</f>
        <v>140,0</v>
      </c>
      <c r="P6" s="11" t="str">
        <f>"86,7720"</f>
        <v>86,7720</v>
      </c>
      <c r="Q6" s="10" t="s">
        <v>205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284</v>
      </c>
      <c r="B17" s="13"/>
    </row>
    <row r="18" spans="1:2" ht="14.25">
      <c r="A18" s="15"/>
      <c r="B18" s="16" t="s">
        <v>278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44</v>
      </c>
    </row>
    <row r="20" spans="1:5" ht="12.75">
      <c r="A20" s="14" t="s">
        <v>637</v>
      </c>
      <c r="B20" s="4" t="s">
        <v>278</v>
      </c>
      <c r="C20" s="4" t="s">
        <v>287</v>
      </c>
      <c r="D20" s="4" t="s">
        <v>132</v>
      </c>
      <c r="E20" s="18" t="s">
        <v>729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51" t="s">
        <v>812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717</v>
      </c>
      <c r="H3" s="48"/>
      <c r="I3" s="48"/>
      <c r="J3" s="48"/>
      <c r="K3" s="48" t="s">
        <v>720</v>
      </c>
      <c r="L3" s="48"/>
      <c r="M3" s="48"/>
      <c r="N3" s="48"/>
      <c r="O3" s="48" t="s">
        <v>4</v>
      </c>
      <c r="P3" s="48" t="s">
        <v>6</v>
      </c>
      <c r="Q3" s="36" t="s">
        <v>5</v>
      </c>
    </row>
    <row r="4" spans="1:17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7"/>
      <c r="P4" s="47"/>
      <c r="Q4" s="37"/>
    </row>
    <row r="5" spans="1:16" ht="15">
      <c r="A5" s="49" t="s">
        <v>233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2.75">
      <c r="A6" s="10" t="s">
        <v>725</v>
      </c>
      <c r="B6" s="10" t="s">
        <v>726</v>
      </c>
      <c r="C6" s="10" t="s">
        <v>727</v>
      </c>
      <c r="D6" s="10" t="str">
        <f>"0,5910"</f>
        <v>0,5910</v>
      </c>
      <c r="E6" s="10" t="s">
        <v>60</v>
      </c>
      <c r="F6" s="10" t="s">
        <v>231</v>
      </c>
      <c r="G6" s="11" t="s">
        <v>113</v>
      </c>
      <c r="H6" s="11" t="s">
        <v>34</v>
      </c>
      <c r="I6" s="11" t="s">
        <v>102</v>
      </c>
      <c r="J6" s="12"/>
      <c r="K6" s="11" t="s">
        <v>80</v>
      </c>
      <c r="L6" s="11" t="s">
        <v>81</v>
      </c>
      <c r="M6" s="11" t="s">
        <v>92</v>
      </c>
      <c r="N6" s="12"/>
      <c r="O6" s="10" t="str">
        <f>"137,5"</f>
        <v>137,5</v>
      </c>
      <c r="P6" s="11" t="str">
        <f>"83,7816"</f>
        <v>83,7816</v>
      </c>
      <c r="Q6" s="10" t="s">
        <v>205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284</v>
      </c>
      <c r="B17" s="13"/>
    </row>
    <row r="18" spans="1:2" ht="14.25">
      <c r="A18" s="15"/>
      <c r="B18" s="16" t="s">
        <v>329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44</v>
      </c>
    </row>
    <row r="20" spans="1:5" ht="12.75">
      <c r="A20" s="14" t="s">
        <v>724</v>
      </c>
      <c r="B20" s="4" t="s">
        <v>491</v>
      </c>
      <c r="C20" s="4" t="s">
        <v>315</v>
      </c>
      <c r="D20" s="4" t="s">
        <v>435</v>
      </c>
      <c r="E20" s="18" t="s">
        <v>728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4.125" style="4" bestFit="1" customWidth="1"/>
    <col min="14" max="16384" width="9.125" style="3" customWidth="1"/>
  </cols>
  <sheetData>
    <row r="1" spans="1:13" s="2" customFormat="1" ht="28.5" customHeight="1">
      <c r="A1" s="51" t="s">
        <v>813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720</v>
      </c>
      <c r="H3" s="48"/>
      <c r="I3" s="48"/>
      <c r="J3" s="48"/>
      <c r="K3" s="48" t="s">
        <v>355</v>
      </c>
      <c r="L3" s="48" t="s">
        <v>6</v>
      </c>
      <c r="M3" s="36" t="s">
        <v>5</v>
      </c>
    </row>
    <row r="4" spans="1:13" s="1" customFormat="1" ht="43.5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206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0" t="s">
        <v>721</v>
      </c>
      <c r="B6" s="10" t="s">
        <v>421</v>
      </c>
      <c r="C6" s="10" t="s">
        <v>422</v>
      </c>
      <c r="D6" s="10" t="str">
        <f>"0,6388"</f>
        <v>0,6388</v>
      </c>
      <c r="E6" s="10" t="s">
        <v>60</v>
      </c>
      <c r="F6" s="10" t="s">
        <v>231</v>
      </c>
      <c r="G6" s="11" t="s">
        <v>139</v>
      </c>
      <c r="H6" s="11" t="s">
        <v>121</v>
      </c>
      <c r="I6" s="11" t="s">
        <v>80</v>
      </c>
      <c r="J6" s="12"/>
      <c r="K6" s="10" t="str">
        <f>"55,0"</f>
        <v>55,0</v>
      </c>
      <c r="L6" s="11" t="str">
        <f>"35,1340"</f>
        <v>35,1340</v>
      </c>
      <c r="M6" s="10" t="s">
        <v>205</v>
      </c>
    </row>
    <row r="8" spans="1:12" ht="15">
      <c r="A8" s="52" t="s">
        <v>233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10" t="s">
        <v>594</v>
      </c>
      <c r="B9" s="10" t="s">
        <v>595</v>
      </c>
      <c r="C9" s="10" t="s">
        <v>248</v>
      </c>
      <c r="D9" s="10" t="str">
        <f>"0,5865"</f>
        <v>0,5865</v>
      </c>
      <c r="E9" s="10" t="s">
        <v>60</v>
      </c>
      <c r="F9" s="10" t="s">
        <v>29</v>
      </c>
      <c r="G9" s="11" t="s">
        <v>121</v>
      </c>
      <c r="H9" s="11" t="s">
        <v>80</v>
      </c>
      <c r="I9" s="11" t="s">
        <v>151</v>
      </c>
      <c r="J9" s="12"/>
      <c r="K9" s="10" t="str">
        <f>"57,5"</f>
        <v>57,5</v>
      </c>
      <c r="L9" s="11" t="str">
        <f>"35,0727"</f>
        <v>35,0727</v>
      </c>
      <c r="M9" s="10" t="s">
        <v>596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ht="15">
      <c r="E17" s="8"/>
    </row>
    <row r="19" spans="1:2" ht="18">
      <c r="A19" s="9" t="s">
        <v>18</v>
      </c>
      <c r="B19" s="9"/>
    </row>
    <row r="20" spans="1:2" ht="15">
      <c r="A20" s="13" t="s">
        <v>284</v>
      </c>
      <c r="B20" s="13"/>
    </row>
    <row r="21" spans="1:2" ht="14.25">
      <c r="A21" s="15"/>
      <c r="B21" s="16" t="s">
        <v>285</v>
      </c>
    </row>
    <row r="22" spans="1:5" ht="15">
      <c r="A22" s="17" t="s">
        <v>40</v>
      </c>
      <c r="B22" s="17" t="s">
        <v>41</v>
      </c>
      <c r="C22" s="17" t="s">
        <v>42</v>
      </c>
      <c r="D22" s="17" t="s">
        <v>43</v>
      </c>
      <c r="E22" s="17" t="s">
        <v>44</v>
      </c>
    </row>
    <row r="23" spans="1:5" ht="12.75">
      <c r="A23" s="14" t="s">
        <v>593</v>
      </c>
      <c r="B23" s="4" t="s">
        <v>45</v>
      </c>
      <c r="C23" s="4" t="s">
        <v>315</v>
      </c>
      <c r="D23" s="4" t="s">
        <v>151</v>
      </c>
      <c r="E23" s="18" t="s">
        <v>722</v>
      </c>
    </row>
    <row r="25" spans="1:2" ht="14.25">
      <c r="A25" s="15"/>
      <c r="B25" s="16" t="s">
        <v>278</v>
      </c>
    </row>
    <row r="26" spans="1:5" ht="15">
      <c r="A26" s="17" t="s">
        <v>40</v>
      </c>
      <c r="B26" s="17" t="s">
        <v>41</v>
      </c>
      <c r="C26" s="17" t="s">
        <v>42</v>
      </c>
      <c r="D26" s="17" t="s">
        <v>43</v>
      </c>
      <c r="E26" s="17" t="s">
        <v>44</v>
      </c>
    </row>
    <row r="27" spans="1:5" ht="12.75">
      <c r="A27" s="14" t="s">
        <v>419</v>
      </c>
      <c r="B27" s="4" t="s">
        <v>278</v>
      </c>
      <c r="C27" s="4" t="s">
        <v>287</v>
      </c>
      <c r="D27" s="4" t="s">
        <v>80</v>
      </c>
      <c r="E27" s="18" t="s">
        <v>723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1" t="s">
        <v>814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717</v>
      </c>
      <c r="H3" s="48"/>
      <c r="I3" s="48"/>
      <c r="J3" s="48"/>
      <c r="K3" s="48" t="s">
        <v>355</v>
      </c>
      <c r="L3" s="48" t="s">
        <v>6</v>
      </c>
      <c r="M3" s="36" t="s">
        <v>5</v>
      </c>
    </row>
    <row r="4" spans="1:13" s="1" customFormat="1" ht="30.75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233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0" t="s">
        <v>499</v>
      </c>
      <c r="B6" s="10" t="s">
        <v>500</v>
      </c>
      <c r="C6" s="10" t="s">
        <v>718</v>
      </c>
      <c r="D6" s="10" t="str">
        <f>"0,5939"</f>
        <v>0,5939</v>
      </c>
      <c r="E6" s="10" t="s">
        <v>60</v>
      </c>
      <c r="F6" s="10" t="s">
        <v>29</v>
      </c>
      <c r="G6" s="11" t="s">
        <v>82</v>
      </c>
      <c r="H6" s="11" t="s">
        <v>84</v>
      </c>
      <c r="I6" s="12"/>
      <c r="J6" s="12"/>
      <c r="K6" s="10" t="str">
        <f>"115,0"</f>
        <v>115,0</v>
      </c>
      <c r="L6" s="11" t="str">
        <f>"68,2985"</f>
        <v>68,2985</v>
      </c>
      <c r="M6" s="10" t="s">
        <v>205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284</v>
      </c>
      <c r="B17" s="13"/>
    </row>
    <row r="18" spans="1:2" ht="14.25">
      <c r="A18" s="15"/>
      <c r="B18" s="16" t="s">
        <v>278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44</v>
      </c>
    </row>
    <row r="20" spans="1:5" ht="12.75">
      <c r="A20" s="14" t="s">
        <v>498</v>
      </c>
      <c r="B20" s="4" t="s">
        <v>278</v>
      </c>
      <c r="C20" s="4" t="s">
        <v>315</v>
      </c>
      <c r="D20" s="4" t="s">
        <v>84</v>
      </c>
      <c r="E20" s="18" t="s">
        <v>719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9.875" style="4" bestFit="1" customWidth="1"/>
    <col min="7" max="7" width="4.625" style="3" bestFit="1" customWidth="1"/>
    <col min="8" max="8" width="4.625" style="29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815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696</v>
      </c>
      <c r="E3" s="48" t="s">
        <v>7</v>
      </c>
      <c r="F3" s="48" t="s">
        <v>12</v>
      </c>
      <c r="G3" s="48" t="s">
        <v>697</v>
      </c>
      <c r="H3" s="48"/>
      <c r="I3" s="48" t="s">
        <v>695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693</v>
      </c>
      <c r="H4" s="28" t="s">
        <v>694</v>
      </c>
      <c r="I4" s="47"/>
      <c r="J4" s="47"/>
      <c r="K4" s="37"/>
    </row>
    <row r="5" spans="1:10" ht="15">
      <c r="A5" s="49" t="s">
        <v>206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638</v>
      </c>
      <c r="B6" s="10" t="s">
        <v>639</v>
      </c>
      <c r="C6" s="10" t="s">
        <v>640</v>
      </c>
      <c r="D6" s="10" t="str">
        <f>"0,7573"</f>
        <v>0,7573</v>
      </c>
      <c r="E6" s="10" t="s">
        <v>60</v>
      </c>
      <c r="F6" s="10" t="s">
        <v>29</v>
      </c>
      <c r="G6" s="11" t="s">
        <v>122</v>
      </c>
      <c r="H6" s="30" t="s">
        <v>714</v>
      </c>
      <c r="I6" s="10" t="str">
        <f>"2145,0"</f>
        <v>2145,0</v>
      </c>
      <c r="J6" s="11" t="str">
        <f>"1624,4085"</f>
        <v>1624,4085</v>
      </c>
      <c r="K6" s="10" t="s">
        <v>205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284</v>
      </c>
      <c r="B17" s="13"/>
    </row>
    <row r="18" spans="1:2" ht="14.25">
      <c r="A18" s="15"/>
      <c r="B18" s="16" t="s">
        <v>278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709</v>
      </c>
    </row>
    <row r="20" spans="1:5" ht="12.75">
      <c r="A20" s="14" t="s">
        <v>637</v>
      </c>
      <c r="B20" s="4" t="s">
        <v>278</v>
      </c>
      <c r="C20" s="4" t="s">
        <v>287</v>
      </c>
      <c r="D20" s="4" t="s">
        <v>715</v>
      </c>
      <c r="E20" s="18" t="s">
        <v>716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2.375" style="4" bestFit="1" customWidth="1"/>
    <col min="7" max="7" width="4.625" style="3" bestFit="1" customWidth="1"/>
    <col min="8" max="8" width="5.625" style="29" bestFit="1" customWidth="1"/>
    <col min="9" max="9" width="7.875" style="4" bestFit="1" customWidth="1"/>
    <col min="10" max="10" width="9.625" style="3" bestFit="1" customWidth="1"/>
    <col min="11" max="11" width="10.00390625" style="4" bestFit="1" customWidth="1"/>
    <col min="12" max="16384" width="9.125" style="3" customWidth="1"/>
  </cols>
  <sheetData>
    <row r="1" spans="1:11" s="2" customFormat="1" ht="28.5" customHeight="1">
      <c r="A1" s="51" t="s">
        <v>816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696</v>
      </c>
      <c r="E3" s="48" t="s">
        <v>7</v>
      </c>
      <c r="F3" s="48" t="s">
        <v>12</v>
      </c>
      <c r="G3" s="48" t="s">
        <v>697</v>
      </c>
      <c r="H3" s="48"/>
      <c r="I3" s="48" t="s">
        <v>695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693</v>
      </c>
      <c r="H4" s="28" t="s">
        <v>694</v>
      </c>
      <c r="I4" s="47"/>
      <c r="J4" s="47"/>
      <c r="K4" s="37"/>
    </row>
    <row r="5" spans="1:10" ht="15">
      <c r="A5" s="49" t="s">
        <v>86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699</v>
      </c>
      <c r="B6" s="10" t="s">
        <v>700</v>
      </c>
      <c r="C6" s="10" t="s">
        <v>367</v>
      </c>
      <c r="D6" s="10" t="str">
        <f>"0,9436"</f>
        <v>0,9436</v>
      </c>
      <c r="E6" s="10" t="s">
        <v>60</v>
      </c>
      <c r="F6" s="10" t="s">
        <v>585</v>
      </c>
      <c r="G6" s="11" t="s">
        <v>64</v>
      </c>
      <c r="H6" s="30" t="s">
        <v>701</v>
      </c>
      <c r="I6" s="10" t="str">
        <f>"990,0"</f>
        <v>990,0</v>
      </c>
      <c r="J6" s="11" t="str">
        <f>"934,1640"</f>
        <v>934,1640</v>
      </c>
      <c r="K6" s="10" t="s">
        <v>205</v>
      </c>
    </row>
    <row r="8" spans="1:10" ht="15">
      <c r="A8" s="52" t="s">
        <v>72</v>
      </c>
      <c r="B8" s="53"/>
      <c r="C8" s="53"/>
      <c r="D8" s="53"/>
      <c r="E8" s="53"/>
      <c r="F8" s="53"/>
      <c r="G8" s="53"/>
      <c r="H8" s="53"/>
      <c r="I8" s="53"/>
      <c r="J8" s="53"/>
    </row>
    <row r="9" spans="1:11" ht="12.75">
      <c r="A9" s="10" t="s">
        <v>703</v>
      </c>
      <c r="B9" s="10" t="s">
        <v>704</v>
      </c>
      <c r="C9" s="10" t="s">
        <v>705</v>
      </c>
      <c r="D9" s="10" t="str">
        <f>"2,0800"</f>
        <v>2,0800</v>
      </c>
      <c r="E9" s="10" t="s">
        <v>60</v>
      </c>
      <c r="F9" s="10" t="s">
        <v>29</v>
      </c>
      <c r="G9" s="11" t="s">
        <v>706</v>
      </c>
      <c r="H9" s="30" t="s">
        <v>707</v>
      </c>
      <c r="I9" s="10" t="str">
        <f>"1080,0"</f>
        <v>1080,0</v>
      </c>
      <c r="J9" s="11" t="str">
        <f>"2246,3999"</f>
        <v>2246,3999</v>
      </c>
      <c r="K9" s="10" t="s">
        <v>708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ht="15">
      <c r="E17" s="8"/>
    </row>
    <row r="19" spans="1:2" ht="18">
      <c r="A19" s="9" t="s">
        <v>18</v>
      </c>
      <c r="B19" s="9"/>
    </row>
    <row r="20" spans="1:2" ht="15">
      <c r="A20" s="13" t="s">
        <v>38</v>
      </c>
      <c r="B20" s="13"/>
    </row>
    <row r="21" spans="1:2" ht="14.25">
      <c r="A21" s="15"/>
      <c r="B21" s="16" t="s">
        <v>278</v>
      </c>
    </row>
    <row r="22" spans="1:5" ht="15">
      <c r="A22" s="17" t="s">
        <v>40</v>
      </c>
      <c r="B22" s="17" t="s">
        <v>41</v>
      </c>
      <c r="C22" s="17" t="s">
        <v>42</v>
      </c>
      <c r="D22" s="17" t="s">
        <v>43</v>
      </c>
      <c r="E22" s="17" t="s">
        <v>709</v>
      </c>
    </row>
    <row r="23" spans="1:5" ht="12.75">
      <c r="A23" s="14" t="s">
        <v>698</v>
      </c>
      <c r="B23" s="4" t="s">
        <v>278</v>
      </c>
      <c r="C23" s="4" t="s">
        <v>274</v>
      </c>
      <c r="D23" s="4" t="s">
        <v>710</v>
      </c>
      <c r="E23" s="18" t="s">
        <v>711</v>
      </c>
    </row>
    <row r="26" spans="1:2" ht="15">
      <c r="A26" s="13" t="s">
        <v>284</v>
      </c>
      <c r="B26" s="13"/>
    </row>
    <row r="27" spans="1:2" ht="14.25">
      <c r="A27" s="15"/>
      <c r="B27" s="16" t="s">
        <v>285</v>
      </c>
    </row>
    <row r="28" spans="1:5" ht="15">
      <c r="A28" s="17" t="s">
        <v>40</v>
      </c>
      <c r="B28" s="17" t="s">
        <v>41</v>
      </c>
      <c r="C28" s="17" t="s">
        <v>42</v>
      </c>
      <c r="D28" s="17" t="s">
        <v>43</v>
      </c>
      <c r="E28" s="17" t="s">
        <v>709</v>
      </c>
    </row>
    <row r="29" spans="1:5" ht="12.75">
      <c r="A29" s="14" t="s">
        <v>702</v>
      </c>
      <c r="B29" s="4" t="s">
        <v>266</v>
      </c>
      <c r="C29" s="4" t="s">
        <v>279</v>
      </c>
      <c r="D29" s="4" t="s">
        <v>712</v>
      </c>
      <c r="E29" s="18" t="s">
        <v>713</v>
      </c>
    </row>
  </sheetData>
  <sheetProtection/>
  <mergeCells count="13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31.875" style="4" bestFit="1" customWidth="1"/>
    <col min="2" max="2" width="27.75390625" style="4" bestFit="1" customWidth="1"/>
    <col min="3" max="3" width="16.625" style="4" bestFit="1" customWidth="1"/>
    <col min="4" max="4" width="9.25390625" style="4" bestFit="1" customWidth="1"/>
    <col min="5" max="5" width="22.75390625" style="4" bestFit="1" customWidth="1"/>
    <col min="6" max="6" width="35.00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5.75390625" style="4" bestFit="1" customWidth="1"/>
    <col min="18" max="16384" width="9.125" style="3" customWidth="1"/>
  </cols>
  <sheetData>
    <row r="1" spans="1:17" s="2" customFormat="1" ht="28.5" customHeight="1">
      <c r="A1" s="51" t="s">
        <v>817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21</v>
      </c>
      <c r="H3" s="48"/>
      <c r="I3" s="48"/>
      <c r="J3" s="48"/>
      <c r="K3" s="48" t="s">
        <v>22</v>
      </c>
      <c r="L3" s="48"/>
      <c r="M3" s="48"/>
      <c r="N3" s="48"/>
      <c r="O3" s="48" t="s">
        <v>4</v>
      </c>
      <c r="P3" s="48" t="s">
        <v>6</v>
      </c>
      <c r="Q3" s="36" t="s">
        <v>5</v>
      </c>
    </row>
    <row r="4" spans="1:17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7"/>
      <c r="P4" s="47"/>
      <c r="Q4" s="37"/>
    </row>
    <row r="5" spans="1:16" ht="15">
      <c r="A5" s="49" t="s">
        <v>114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2.75">
      <c r="A6" s="10" t="s">
        <v>666</v>
      </c>
      <c r="B6" s="10" t="s">
        <v>667</v>
      </c>
      <c r="C6" s="10" t="s">
        <v>668</v>
      </c>
      <c r="D6" s="10" t="str">
        <f>"0,7706"</f>
        <v>0,7706</v>
      </c>
      <c r="E6" s="10" t="s">
        <v>119</v>
      </c>
      <c r="F6" s="10" t="s">
        <v>120</v>
      </c>
      <c r="G6" s="11" t="s">
        <v>94</v>
      </c>
      <c r="H6" s="11" t="s">
        <v>95</v>
      </c>
      <c r="I6" s="11" t="s">
        <v>103</v>
      </c>
      <c r="J6" s="12"/>
      <c r="K6" s="11" t="s">
        <v>30</v>
      </c>
      <c r="L6" s="11" t="s">
        <v>122</v>
      </c>
      <c r="M6" s="11" t="s">
        <v>169</v>
      </c>
      <c r="N6" s="12"/>
      <c r="O6" s="10" t="str">
        <f>"132,5"</f>
        <v>132,5</v>
      </c>
      <c r="P6" s="11" t="str">
        <f>"125,5885"</f>
        <v>125,5885</v>
      </c>
      <c r="Q6" s="10" t="s">
        <v>123</v>
      </c>
    </row>
    <row r="8" spans="1:16" ht="15">
      <c r="A8" s="52" t="s">
        <v>23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7" ht="12.75">
      <c r="A9" s="19" t="s">
        <v>670</v>
      </c>
      <c r="B9" s="19" t="s">
        <v>671</v>
      </c>
      <c r="C9" s="19" t="s">
        <v>672</v>
      </c>
      <c r="D9" s="19" t="str">
        <f>"0,6874"</f>
        <v>0,6874</v>
      </c>
      <c r="E9" s="19" t="s">
        <v>60</v>
      </c>
      <c r="F9" s="19" t="s">
        <v>673</v>
      </c>
      <c r="G9" s="20" t="s">
        <v>35</v>
      </c>
      <c r="H9" s="20" t="s">
        <v>31</v>
      </c>
      <c r="I9" s="21" t="s">
        <v>144</v>
      </c>
      <c r="J9" s="21"/>
      <c r="K9" s="20" t="s">
        <v>132</v>
      </c>
      <c r="L9" s="20" t="s">
        <v>179</v>
      </c>
      <c r="M9" s="20" t="s">
        <v>129</v>
      </c>
      <c r="N9" s="21"/>
      <c r="O9" s="19" t="str">
        <f>"240,0"</f>
        <v>240,0</v>
      </c>
      <c r="P9" s="20" t="str">
        <f>"194,6717"</f>
        <v>194,6717</v>
      </c>
      <c r="Q9" s="19" t="s">
        <v>205</v>
      </c>
    </row>
    <row r="10" spans="1:17" ht="12.75">
      <c r="A10" s="22" t="s">
        <v>675</v>
      </c>
      <c r="B10" s="22" t="s">
        <v>676</v>
      </c>
      <c r="C10" s="22" t="s">
        <v>677</v>
      </c>
      <c r="D10" s="22" t="str">
        <f>"0,6843"</f>
        <v>0,6843</v>
      </c>
      <c r="E10" s="22" t="s">
        <v>91</v>
      </c>
      <c r="F10" s="22" t="s">
        <v>29</v>
      </c>
      <c r="G10" s="23" t="s">
        <v>36</v>
      </c>
      <c r="H10" s="23" t="s">
        <v>262</v>
      </c>
      <c r="I10" s="23" t="s">
        <v>161</v>
      </c>
      <c r="J10" s="24"/>
      <c r="K10" s="23" t="s">
        <v>130</v>
      </c>
      <c r="L10" s="23" t="s">
        <v>227</v>
      </c>
      <c r="M10" s="23" t="s">
        <v>212</v>
      </c>
      <c r="N10" s="24"/>
      <c r="O10" s="22" t="str">
        <f>"287,5"</f>
        <v>287,5</v>
      </c>
      <c r="P10" s="23" t="str">
        <f>"212,4752"</f>
        <v>212,4752</v>
      </c>
      <c r="Q10" s="22" t="s">
        <v>678</v>
      </c>
    </row>
    <row r="12" spans="1:16" ht="15">
      <c r="A12" s="52" t="s">
        <v>206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7" ht="12.75">
      <c r="A13" s="19" t="s">
        <v>583</v>
      </c>
      <c r="B13" s="19" t="s">
        <v>584</v>
      </c>
      <c r="C13" s="19" t="s">
        <v>210</v>
      </c>
      <c r="D13" s="19" t="str">
        <f>"0,6193"</f>
        <v>0,6193</v>
      </c>
      <c r="E13" s="19" t="s">
        <v>60</v>
      </c>
      <c r="F13" s="19" t="s">
        <v>585</v>
      </c>
      <c r="G13" s="20" t="s">
        <v>32</v>
      </c>
      <c r="H13" s="20" t="s">
        <v>82</v>
      </c>
      <c r="I13" s="20" t="s">
        <v>83</v>
      </c>
      <c r="J13" s="21"/>
      <c r="K13" s="20" t="s">
        <v>212</v>
      </c>
      <c r="L13" s="20" t="s">
        <v>213</v>
      </c>
      <c r="M13" s="20" t="s">
        <v>221</v>
      </c>
      <c r="N13" s="21"/>
      <c r="O13" s="19" t="str">
        <f>"305,0"</f>
        <v>305,0</v>
      </c>
      <c r="P13" s="20" t="str">
        <f>"188,8865"</f>
        <v>188,8865</v>
      </c>
      <c r="Q13" s="19" t="s">
        <v>205</v>
      </c>
    </row>
    <row r="14" spans="1:17" ht="12.75">
      <c r="A14" s="22" t="s">
        <v>587</v>
      </c>
      <c r="B14" s="22" t="s">
        <v>588</v>
      </c>
      <c r="C14" s="22" t="s">
        <v>589</v>
      </c>
      <c r="D14" s="22" t="str">
        <f>"0,6312"</f>
        <v>0,6312</v>
      </c>
      <c r="E14" s="22" t="s">
        <v>60</v>
      </c>
      <c r="F14" s="22" t="s">
        <v>585</v>
      </c>
      <c r="G14" s="23" t="s">
        <v>82</v>
      </c>
      <c r="H14" s="23" t="s">
        <v>83</v>
      </c>
      <c r="I14" s="23" t="s">
        <v>84</v>
      </c>
      <c r="J14" s="24"/>
      <c r="K14" s="23" t="s">
        <v>203</v>
      </c>
      <c r="L14" s="23" t="s">
        <v>220</v>
      </c>
      <c r="M14" s="23" t="s">
        <v>349</v>
      </c>
      <c r="N14" s="24"/>
      <c r="O14" s="22" t="str">
        <f>"302,5"</f>
        <v>302,5</v>
      </c>
      <c r="P14" s="23" t="str">
        <f>"190,9380"</f>
        <v>190,9380</v>
      </c>
      <c r="Q14" s="22" t="s">
        <v>205</v>
      </c>
    </row>
    <row r="16" spans="1:16" ht="15">
      <c r="A16" s="52" t="s">
        <v>233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7" ht="12.75">
      <c r="A17" s="10" t="s">
        <v>598</v>
      </c>
      <c r="B17" s="10" t="s">
        <v>599</v>
      </c>
      <c r="C17" s="10" t="s">
        <v>600</v>
      </c>
      <c r="D17" s="10" t="str">
        <f>"0,5853"</f>
        <v>0,5853</v>
      </c>
      <c r="E17" s="10" t="s">
        <v>60</v>
      </c>
      <c r="F17" s="10" t="s">
        <v>29</v>
      </c>
      <c r="G17" s="11" t="s">
        <v>440</v>
      </c>
      <c r="H17" s="11" t="s">
        <v>132</v>
      </c>
      <c r="I17" s="12" t="s">
        <v>179</v>
      </c>
      <c r="J17" s="12"/>
      <c r="K17" s="12" t="s">
        <v>239</v>
      </c>
      <c r="L17" s="11" t="s">
        <v>250</v>
      </c>
      <c r="M17" s="11" t="s">
        <v>214</v>
      </c>
      <c r="N17" s="12"/>
      <c r="O17" s="10" t="str">
        <f>"360,0"</f>
        <v>360,0</v>
      </c>
      <c r="P17" s="11" t="str">
        <f>"210,7080"</f>
        <v>210,7080</v>
      </c>
      <c r="Q17" s="10" t="s">
        <v>205</v>
      </c>
    </row>
    <row r="19" spans="1:16" ht="15">
      <c r="A19" s="52" t="s">
        <v>251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7" ht="12.75">
      <c r="A20" s="10" t="s">
        <v>253</v>
      </c>
      <c r="B20" s="10" t="s">
        <v>254</v>
      </c>
      <c r="C20" s="10" t="s">
        <v>255</v>
      </c>
      <c r="D20" s="10" t="str">
        <f>"0,5568"</f>
        <v>0,5568</v>
      </c>
      <c r="E20" s="10" t="s">
        <v>60</v>
      </c>
      <c r="F20" s="10" t="s">
        <v>256</v>
      </c>
      <c r="G20" s="11" t="s">
        <v>193</v>
      </c>
      <c r="H20" s="11" t="s">
        <v>187</v>
      </c>
      <c r="I20" s="11" t="s">
        <v>132</v>
      </c>
      <c r="J20" s="12"/>
      <c r="K20" s="11" t="s">
        <v>250</v>
      </c>
      <c r="L20" s="11" t="s">
        <v>214</v>
      </c>
      <c r="M20" s="11" t="s">
        <v>215</v>
      </c>
      <c r="N20" s="12"/>
      <c r="O20" s="10" t="str">
        <f>"370,0"</f>
        <v>370,0</v>
      </c>
      <c r="P20" s="11" t="str">
        <f>"206,0160"</f>
        <v>206,0160</v>
      </c>
      <c r="Q20" s="10" t="s">
        <v>205</v>
      </c>
    </row>
    <row r="22" ht="15">
      <c r="E22" s="8" t="s">
        <v>13</v>
      </c>
    </row>
    <row r="23" ht="15">
      <c r="E23" s="8" t="s">
        <v>14</v>
      </c>
    </row>
    <row r="24" ht="15">
      <c r="E24" s="8" t="s">
        <v>15</v>
      </c>
    </row>
    <row r="25" ht="15">
      <c r="E25" s="8" t="s">
        <v>16</v>
      </c>
    </row>
    <row r="26" ht="15">
      <c r="E26" s="8" t="s">
        <v>16</v>
      </c>
    </row>
    <row r="27" ht="15">
      <c r="E27" s="8" t="s">
        <v>17</v>
      </c>
    </row>
    <row r="28" ht="15">
      <c r="E28" s="8"/>
    </row>
    <row r="30" spans="1:2" ht="18">
      <c r="A30" s="9" t="s">
        <v>18</v>
      </c>
      <c r="B30" s="9"/>
    </row>
    <row r="31" spans="1:2" ht="15">
      <c r="A31" s="13" t="s">
        <v>284</v>
      </c>
      <c r="B31" s="13"/>
    </row>
    <row r="32" spans="1:2" ht="14.25">
      <c r="A32" s="15"/>
      <c r="B32" s="16" t="s">
        <v>285</v>
      </c>
    </row>
    <row r="33" spans="1:5" ht="15">
      <c r="A33" s="17" t="s">
        <v>40</v>
      </c>
      <c r="B33" s="17" t="s">
        <v>41</v>
      </c>
      <c r="C33" s="17" t="s">
        <v>42</v>
      </c>
      <c r="D33" s="17" t="s">
        <v>43</v>
      </c>
      <c r="E33" s="17" t="s">
        <v>44</v>
      </c>
    </row>
    <row r="34" spans="1:5" ht="12.75">
      <c r="A34" s="14" t="s">
        <v>674</v>
      </c>
      <c r="B34" s="4" t="s">
        <v>286</v>
      </c>
      <c r="C34" s="4" t="s">
        <v>46</v>
      </c>
      <c r="D34" s="4" t="s">
        <v>679</v>
      </c>
      <c r="E34" s="18" t="s">
        <v>680</v>
      </c>
    </row>
    <row r="35" spans="1:5" ht="12.75">
      <c r="A35" s="14" t="s">
        <v>669</v>
      </c>
      <c r="B35" s="4" t="s">
        <v>263</v>
      </c>
      <c r="C35" s="4" t="s">
        <v>46</v>
      </c>
      <c r="D35" s="4" t="s">
        <v>242</v>
      </c>
      <c r="E35" s="18" t="s">
        <v>681</v>
      </c>
    </row>
    <row r="36" spans="1:5" ht="12.75">
      <c r="A36" s="14" t="s">
        <v>665</v>
      </c>
      <c r="B36" s="4" t="s">
        <v>263</v>
      </c>
      <c r="C36" s="4" t="s">
        <v>264</v>
      </c>
      <c r="D36" s="4" t="s">
        <v>417</v>
      </c>
      <c r="E36" s="18" t="s">
        <v>682</v>
      </c>
    </row>
    <row r="38" spans="1:2" ht="14.25">
      <c r="A38" s="15"/>
      <c r="B38" s="16" t="s">
        <v>278</v>
      </c>
    </row>
    <row r="39" spans="1:5" ht="15">
      <c r="A39" s="17" t="s">
        <v>40</v>
      </c>
      <c r="B39" s="17" t="s">
        <v>41</v>
      </c>
      <c r="C39" s="17" t="s">
        <v>42</v>
      </c>
      <c r="D39" s="17" t="s">
        <v>43</v>
      </c>
      <c r="E39" s="17" t="s">
        <v>44</v>
      </c>
    </row>
    <row r="40" spans="1:5" ht="12.75">
      <c r="A40" s="14" t="s">
        <v>597</v>
      </c>
      <c r="B40" s="4" t="s">
        <v>278</v>
      </c>
      <c r="C40" s="4" t="s">
        <v>315</v>
      </c>
      <c r="D40" s="4" t="s">
        <v>683</v>
      </c>
      <c r="E40" s="18" t="s">
        <v>684</v>
      </c>
    </row>
    <row r="41" spans="1:5" ht="12.75">
      <c r="A41" s="14" t="s">
        <v>252</v>
      </c>
      <c r="B41" s="4" t="s">
        <v>278</v>
      </c>
      <c r="C41" s="4" t="s">
        <v>320</v>
      </c>
      <c r="D41" s="4" t="s">
        <v>685</v>
      </c>
      <c r="E41" s="18" t="s">
        <v>686</v>
      </c>
    </row>
    <row r="42" spans="1:5" ht="12.75">
      <c r="A42" s="14" t="s">
        <v>586</v>
      </c>
      <c r="B42" s="4" t="s">
        <v>278</v>
      </c>
      <c r="C42" s="4" t="s">
        <v>287</v>
      </c>
      <c r="D42" s="4" t="s">
        <v>687</v>
      </c>
      <c r="E42" s="18" t="s">
        <v>688</v>
      </c>
    </row>
    <row r="43" spans="1:5" ht="12.75">
      <c r="A43" s="14" t="s">
        <v>582</v>
      </c>
      <c r="B43" s="4" t="s">
        <v>278</v>
      </c>
      <c r="C43" s="4" t="s">
        <v>287</v>
      </c>
      <c r="D43" s="4" t="s">
        <v>689</v>
      </c>
      <c r="E43" s="18" t="s">
        <v>690</v>
      </c>
    </row>
    <row r="48" spans="1:2" ht="18">
      <c r="A48" s="9" t="s">
        <v>49</v>
      </c>
      <c r="B48" s="9"/>
    </row>
    <row r="49" spans="1:3" ht="15">
      <c r="A49" s="17" t="s">
        <v>50</v>
      </c>
      <c r="B49" s="17" t="s">
        <v>51</v>
      </c>
      <c r="C49" s="17" t="s">
        <v>52</v>
      </c>
    </row>
    <row r="50" spans="1:3" ht="12.75">
      <c r="A50" s="4" t="s">
        <v>91</v>
      </c>
      <c r="B50" s="4" t="s">
        <v>53</v>
      </c>
      <c r="C50" s="4" t="s">
        <v>691</v>
      </c>
    </row>
    <row r="51" spans="1:3" ht="12.75">
      <c r="A51" s="4" t="s">
        <v>119</v>
      </c>
      <c r="B51" s="4" t="s">
        <v>53</v>
      </c>
      <c r="C51" s="4" t="s">
        <v>692</v>
      </c>
    </row>
  </sheetData>
  <sheetProtection/>
  <mergeCells count="17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16:P16"/>
    <mergeCell ref="A19:P19"/>
    <mergeCell ref="O3:O4"/>
    <mergeCell ref="P3:P4"/>
    <mergeCell ref="Q3:Q4"/>
    <mergeCell ref="A5:P5"/>
    <mergeCell ref="A8:P8"/>
    <mergeCell ref="A12:P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1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3.25390625" style="4" bestFit="1" customWidth="1"/>
    <col min="14" max="16384" width="9.125" style="3" customWidth="1"/>
  </cols>
  <sheetData>
    <row r="1" spans="1:13" s="2" customFormat="1" ht="28.5" customHeight="1">
      <c r="A1" s="51" t="s">
        <v>818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22</v>
      </c>
      <c r="H3" s="48"/>
      <c r="I3" s="48"/>
      <c r="J3" s="48"/>
      <c r="K3" s="48" t="s">
        <v>355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206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0" t="s">
        <v>638</v>
      </c>
      <c r="B6" s="10" t="s">
        <v>639</v>
      </c>
      <c r="C6" s="10" t="s">
        <v>640</v>
      </c>
      <c r="D6" s="10" t="str">
        <f>"0,6198"</f>
        <v>0,6198</v>
      </c>
      <c r="E6" s="10" t="s">
        <v>60</v>
      </c>
      <c r="F6" s="10" t="s">
        <v>29</v>
      </c>
      <c r="G6" s="11" t="s">
        <v>243</v>
      </c>
      <c r="H6" s="12" t="s">
        <v>350</v>
      </c>
      <c r="I6" s="12" t="s">
        <v>350</v>
      </c>
      <c r="J6" s="12"/>
      <c r="K6" s="10" t="str">
        <f>"250,0"</f>
        <v>250,0</v>
      </c>
      <c r="L6" s="11" t="str">
        <f>"154,9500"</f>
        <v>154,9500</v>
      </c>
      <c r="M6" s="10" t="s">
        <v>205</v>
      </c>
    </row>
    <row r="8" spans="1:12" ht="15">
      <c r="A8" s="52" t="s">
        <v>233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10" t="s">
        <v>642</v>
      </c>
      <c r="B9" s="10" t="s">
        <v>643</v>
      </c>
      <c r="C9" s="10" t="s">
        <v>600</v>
      </c>
      <c r="D9" s="10" t="str">
        <f>"0,5853"</f>
        <v>0,5853</v>
      </c>
      <c r="E9" s="10" t="s">
        <v>101</v>
      </c>
      <c r="F9" s="10" t="s">
        <v>29</v>
      </c>
      <c r="G9" s="11" t="s">
        <v>350</v>
      </c>
      <c r="H9" s="12" t="s">
        <v>644</v>
      </c>
      <c r="I9" s="12"/>
      <c r="J9" s="12"/>
      <c r="K9" s="10" t="str">
        <f>"260,0"</f>
        <v>260,0</v>
      </c>
      <c r="L9" s="11" t="str">
        <f>"152,1780"</f>
        <v>152,1780</v>
      </c>
      <c r="M9" s="10" t="s">
        <v>205</v>
      </c>
    </row>
    <row r="11" spans="1:12" ht="15">
      <c r="A11" s="52" t="s">
        <v>251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12.75">
      <c r="A12" s="10" t="s">
        <v>646</v>
      </c>
      <c r="B12" s="10" t="s">
        <v>647</v>
      </c>
      <c r="C12" s="10" t="s">
        <v>648</v>
      </c>
      <c r="D12" s="10" t="str">
        <f>"0,5821"</f>
        <v>0,5821</v>
      </c>
      <c r="E12" s="10" t="s">
        <v>60</v>
      </c>
      <c r="F12" s="10" t="s">
        <v>29</v>
      </c>
      <c r="G12" s="11" t="s">
        <v>213</v>
      </c>
      <c r="H12" s="11" t="s">
        <v>239</v>
      </c>
      <c r="I12" s="12"/>
      <c r="J12" s="12"/>
      <c r="K12" s="10" t="str">
        <f>"200,0"</f>
        <v>200,0</v>
      </c>
      <c r="L12" s="11" t="str">
        <f>"116,4200"</f>
        <v>116,4200</v>
      </c>
      <c r="M12" s="10" t="s">
        <v>441</v>
      </c>
    </row>
    <row r="14" spans="1:12" ht="15">
      <c r="A14" s="52" t="s">
        <v>257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ht="12.75">
      <c r="A15" s="10" t="s">
        <v>650</v>
      </c>
      <c r="B15" s="10" t="s">
        <v>651</v>
      </c>
      <c r="C15" s="10" t="s">
        <v>652</v>
      </c>
      <c r="D15" s="10" t="str">
        <f>"0,5380"</f>
        <v>0,5380</v>
      </c>
      <c r="E15" s="10" t="s">
        <v>60</v>
      </c>
      <c r="F15" s="10" t="s">
        <v>29</v>
      </c>
      <c r="G15" s="11" t="s">
        <v>242</v>
      </c>
      <c r="H15" s="12" t="s">
        <v>243</v>
      </c>
      <c r="I15" s="11" t="s">
        <v>302</v>
      </c>
      <c r="J15" s="12"/>
      <c r="K15" s="10" t="str">
        <f>"255,0"</f>
        <v>255,0</v>
      </c>
      <c r="L15" s="11" t="str">
        <f>"137,1900"</f>
        <v>137,1900</v>
      </c>
      <c r="M15" s="10" t="s">
        <v>205</v>
      </c>
    </row>
    <row r="17" spans="1:12" ht="15">
      <c r="A17" s="52" t="s">
        <v>653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3" ht="12.75">
      <c r="A18" s="10" t="s">
        <v>655</v>
      </c>
      <c r="B18" s="10" t="s">
        <v>656</v>
      </c>
      <c r="C18" s="10" t="s">
        <v>657</v>
      </c>
      <c r="D18" s="10" t="str">
        <f>"0,5130"</f>
        <v>0,5130</v>
      </c>
      <c r="E18" s="10" t="s">
        <v>60</v>
      </c>
      <c r="F18" s="10" t="s">
        <v>29</v>
      </c>
      <c r="G18" s="11" t="s">
        <v>242</v>
      </c>
      <c r="H18" s="11" t="s">
        <v>350</v>
      </c>
      <c r="I18" s="11" t="s">
        <v>47</v>
      </c>
      <c r="J18" s="12"/>
      <c r="K18" s="10" t="str">
        <f>"275,0"</f>
        <v>275,0</v>
      </c>
      <c r="L18" s="11" t="str">
        <f>"141,0640"</f>
        <v>141,0640</v>
      </c>
      <c r="M18" s="10" t="s">
        <v>205</v>
      </c>
    </row>
    <row r="20" ht="15">
      <c r="E20" s="8" t="s">
        <v>13</v>
      </c>
    </row>
    <row r="21" ht="15">
      <c r="E21" s="8" t="s">
        <v>14</v>
      </c>
    </row>
    <row r="22" ht="15">
      <c r="E22" s="8" t="s">
        <v>15</v>
      </c>
    </row>
    <row r="23" ht="15">
      <c r="E23" s="8" t="s">
        <v>16</v>
      </c>
    </row>
    <row r="24" ht="15">
      <c r="E24" s="8" t="s">
        <v>16</v>
      </c>
    </row>
    <row r="25" ht="15">
      <c r="E25" s="8" t="s">
        <v>17</v>
      </c>
    </row>
    <row r="26" ht="15">
      <c r="E26" s="8"/>
    </row>
    <row r="28" spans="1:2" ht="18">
      <c r="A28" s="9" t="s">
        <v>18</v>
      </c>
      <c r="B28" s="9"/>
    </row>
    <row r="29" spans="1:2" ht="15">
      <c r="A29" s="13" t="s">
        <v>284</v>
      </c>
      <c r="B29" s="13"/>
    </row>
    <row r="30" spans="1:2" ht="14.25">
      <c r="A30" s="15"/>
      <c r="B30" s="16" t="s">
        <v>278</v>
      </c>
    </row>
    <row r="31" spans="1:5" ht="15">
      <c r="A31" s="17" t="s">
        <v>40</v>
      </c>
      <c r="B31" s="17" t="s">
        <v>41</v>
      </c>
      <c r="C31" s="17" t="s">
        <v>42</v>
      </c>
      <c r="D31" s="17" t="s">
        <v>43</v>
      </c>
      <c r="E31" s="17" t="s">
        <v>44</v>
      </c>
    </row>
    <row r="32" spans="1:5" ht="12.75">
      <c r="A32" s="14" t="s">
        <v>637</v>
      </c>
      <c r="B32" s="4" t="s">
        <v>278</v>
      </c>
      <c r="C32" s="4" t="s">
        <v>287</v>
      </c>
      <c r="D32" s="4" t="s">
        <v>243</v>
      </c>
      <c r="E32" s="18" t="s">
        <v>658</v>
      </c>
    </row>
    <row r="33" spans="1:5" ht="12.75">
      <c r="A33" s="14" t="s">
        <v>641</v>
      </c>
      <c r="B33" s="4" t="s">
        <v>278</v>
      </c>
      <c r="C33" s="4" t="s">
        <v>315</v>
      </c>
      <c r="D33" s="4" t="s">
        <v>350</v>
      </c>
      <c r="E33" s="18" t="s">
        <v>659</v>
      </c>
    </row>
    <row r="34" spans="1:5" ht="12.75">
      <c r="A34" s="14" t="s">
        <v>654</v>
      </c>
      <c r="B34" s="4" t="s">
        <v>278</v>
      </c>
      <c r="C34" s="4" t="s">
        <v>660</v>
      </c>
      <c r="D34" s="4" t="s">
        <v>47</v>
      </c>
      <c r="E34" s="18" t="s">
        <v>661</v>
      </c>
    </row>
    <row r="35" spans="1:5" ht="12.75">
      <c r="A35" s="14" t="s">
        <v>649</v>
      </c>
      <c r="B35" s="4" t="s">
        <v>278</v>
      </c>
      <c r="C35" s="4" t="s">
        <v>292</v>
      </c>
      <c r="D35" s="4" t="s">
        <v>302</v>
      </c>
      <c r="E35" s="18" t="s">
        <v>662</v>
      </c>
    </row>
    <row r="36" spans="1:5" ht="12.75">
      <c r="A36" s="14" t="s">
        <v>645</v>
      </c>
      <c r="B36" s="4" t="s">
        <v>278</v>
      </c>
      <c r="C36" s="4" t="s">
        <v>320</v>
      </c>
      <c r="D36" s="4" t="s">
        <v>239</v>
      </c>
      <c r="E36" s="18" t="s">
        <v>663</v>
      </c>
    </row>
    <row r="41" spans="1:2" ht="18">
      <c r="A41" s="9" t="s">
        <v>49</v>
      </c>
      <c r="B41" s="9"/>
    </row>
    <row r="42" spans="1:3" ht="15">
      <c r="A42" s="17" t="s">
        <v>50</v>
      </c>
      <c r="B42" s="17" t="s">
        <v>51</v>
      </c>
      <c r="C42" s="17" t="s">
        <v>52</v>
      </c>
    </row>
    <row r="43" spans="1:3" ht="12.75">
      <c r="A43" s="4" t="s">
        <v>101</v>
      </c>
      <c r="B43" s="4" t="s">
        <v>53</v>
      </c>
      <c r="C43" s="4" t="s">
        <v>664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7:L17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10.25390625" style="4" customWidth="1"/>
    <col min="4" max="4" width="9.25390625" style="4" bestFit="1" customWidth="1"/>
    <col min="5" max="5" width="22.75390625" style="4" bestFit="1" customWidth="1"/>
    <col min="6" max="6" width="32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1" t="s">
        <v>819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22</v>
      </c>
      <c r="H3" s="48"/>
      <c r="I3" s="48"/>
      <c r="J3" s="48"/>
      <c r="K3" s="48" t="s">
        <v>355</v>
      </c>
      <c r="L3" s="48" t="s">
        <v>6</v>
      </c>
      <c r="M3" s="36" t="s">
        <v>5</v>
      </c>
    </row>
    <row r="4" spans="1:13" s="1" customFormat="1" ht="43.5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9" t="s">
        <v>535</v>
      </c>
      <c r="B6" s="19" t="s">
        <v>536</v>
      </c>
      <c r="C6" s="19" t="s">
        <v>160</v>
      </c>
      <c r="D6" s="19" t="str">
        <f>"0,9124"</f>
        <v>0,9124</v>
      </c>
      <c r="E6" s="19" t="s">
        <v>150</v>
      </c>
      <c r="F6" s="19" t="s">
        <v>61</v>
      </c>
      <c r="G6" s="20" t="s">
        <v>30</v>
      </c>
      <c r="H6" s="20" t="s">
        <v>31</v>
      </c>
      <c r="I6" s="20" t="s">
        <v>262</v>
      </c>
      <c r="J6" s="21"/>
      <c r="K6" s="19" t="str">
        <f>"102,5"</f>
        <v>102,5</v>
      </c>
      <c r="L6" s="20" t="str">
        <f>"115,0308"</f>
        <v>115,0308</v>
      </c>
      <c r="M6" s="19" t="s">
        <v>152</v>
      </c>
    </row>
    <row r="7" spans="1:13" ht="12.75">
      <c r="A7" s="25" t="s">
        <v>538</v>
      </c>
      <c r="B7" s="25" t="s">
        <v>539</v>
      </c>
      <c r="C7" s="25" t="s">
        <v>160</v>
      </c>
      <c r="D7" s="25" t="str">
        <f>"0,9124"</f>
        <v>0,9124</v>
      </c>
      <c r="E7" s="25" t="s">
        <v>150</v>
      </c>
      <c r="F7" s="25" t="s">
        <v>61</v>
      </c>
      <c r="G7" s="26" t="s">
        <v>83</v>
      </c>
      <c r="H7" s="26" t="s">
        <v>193</v>
      </c>
      <c r="I7" s="27" t="s">
        <v>187</v>
      </c>
      <c r="J7" s="27"/>
      <c r="K7" s="25" t="str">
        <f>"120,0"</f>
        <v>120,0</v>
      </c>
      <c r="L7" s="26" t="str">
        <f>"109,4880"</f>
        <v>109,4880</v>
      </c>
      <c r="M7" s="25" t="s">
        <v>429</v>
      </c>
    </row>
    <row r="8" spans="1:13" ht="12.75">
      <c r="A8" s="22" t="s">
        <v>541</v>
      </c>
      <c r="B8" s="22" t="s">
        <v>542</v>
      </c>
      <c r="C8" s="22" t="s">
        <v>543</v>
      </c>
      <c r="D8" s="22" t="str">
        <f>"0,9242"</f>
        <v>0,9242</v>
      </c>
      <c r="E8" s="22" t="s">
        <v>60</v>
      </c>
      <c r="F8" s="22" t="s">
        <v>544</v>
      </c>
      <c r="G8" s="23" t="s">
        <v>161</v>
      </c>
      <c r="H8" s="23" t="s">
        <v>398</v>
      </c>
      <c r="I8" s="24"/>
      <c r="J8" s="24"/>
      <c r="K8" s="22" t="str">
        <f>"117,5"</f>
        <v>117,5</v>
      </c>
      <c r="L8" s="23" t="str">
        <f>"108,5935"</f>
        <v>108,5935</v>
      </c>
      <c r="M8" s="22" t="s">
        <v>545</v>
      </c>
    </row>
    <row r="10" spans="1:12" ht="15">
      <c r="A10" s="52" t="s">
        <v>114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3" ht="12.75">
      <c r="A11" s="19" t="s">
        <v>547</v>
      </c>
      <c r="B11" s="19" t="s">
        <v>548</v>
      </c>
      <c r="C11" s="19" t="s">
        <v>549</v>
      </c>
      <c r="D11" s="19" t="str">
        <f>"0,7923"</f>
        <v>0,7923</v>
      </c>
      <c r="E11" s="19" t="s">
        <v>60</v>
      </c>
      <c r="F11" s="19" t="s">
        <v>231</v>
      </c>
      <c r="G11" s="20" t="s">
        <v>35</v>
      </c>
      <c r="H11" s="20" t="s">
        <v>31</v>
      </c>
      <c r="I11" s="20" t="s">
        <v>32</v>
      </c>
      <c r="J11" s="21"/>
      <c r="K11" s="19" t="str">
        <f>"100,0"</f>
        <v>100,0</v>
      </c>
      <c r="L11" s="20" t="str">
        <f>"80,8146"</f>
        <v>80,8146</v>
      </c>
      <c r="M11" s="19" t="s">
        <v>205</v>
      </c>
    </row>
    <row r="12" spans="1:13" ht="12.75">
      <c r="A12" s="22" t="s">
        <v>551</v>
      </c>
      <c r="B12" s="22" t="s">
        <v>552</v>
      </c>
      <c r="C12" s="22" t="s">
        <v>553</v>
      </c>
      <c r="D12" s="22" t="str">
        <f>"0,8375"</f>
        <v>0,8375</v>
      </c>
      <c r="E12" s="22" t="s">
        <v>60</v>
      </c>
      <c r="F12" s="22" t="s">
        <v>231</v>
      </c>
      <c r="G12" s="23" t="s">
        <v>36</v>
      </c>
      <c r="H12" s="24" t="s">
        <v>32</v>
      </c>
      <c r="I12" s="24"/>
      <c r="J12" s="24"/>
      <c r="K12" s="22" t="str">
        <f>"95,0"</f>
        <v>95,0</v>
      </c>
      <c r="L12" s="23" t="str">
        <f>"95,7990"</f>
        <v>95,7990</v>
      </c>
      <c r="M12" s="22" t="s">
        <v>232</v>
      </c>
    </row>
    <row r="14" spans="1:12" ht="15">
      <c r="A14" s="52" t="s">
        <v>72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ht="12.75">
      <c r="A15" s="19" t="s">
        <v>555</v>
      </c>
      <c r="B15" s="19" t="s">
        <v>556</v>
      </c>
      <c r="C15" s="19" t="s">
        <v>557</v>
      </c>
      <c r="D15" s="19" t="str">
        <f>"1,3133"</f>
        <v>1,3133</v>
      </c>
      <c r="E15" s="19" t="s">
        <v>119</v>
      </c>
      <c r="F15" s="19" t="s">
        <v>120</v>
      </c>
      <c r="G15" s="20" t="s">
        <v>94</v>
      </c>
      <c r="H15" s="20" t="s">
        <v>121</v>
      </c>
      <c r="I15" s="20" t="s">
        <v>81</v>
      </c>
      <c r="J15" s="21"/>
      <c r="K15" s="19" t="str">
        <f>"60,0"</f>
        <v>60,0</v>
      </c>
      <c r="L15" s="20" t="str">
        <f>"96,9215"</f>
        <v>96,9215</v>
      </c>
      <c r="M15" s="19" t="s">
        <v>123</v>
      </c>
    </row>
    <row r="16" spans="1:13" ht="12.75">
      <c r="A16" s="22" t="s">
        <v>559</v>
      </c>
      <c r="B16" s="22" t="s">
        <v>560</v>
      </c>
      <c r="C16" s="22" t="s">
        <v>561</v>
      </c>
      <c r="D16" s="22" t="str">
        <f>"1,3133"</f>
        <v>1,3133</v>
      </c>
      <c r="E16" s="22" t="s">
        <v>119</v>
      </c>
      <c r="F16" s="22" t="s">
        <v>120</v>
      </c>
      <c r="G16" s="23" t="s">
        <v>94</v>
      </c>
      <c r="H16" s="23" t="s">
        <v>121</v>
      </c>
      <c r="I16" s="24" t="s">
        <v>80</v>
      </c>
      <c r="J16" s="24"/>
      <c r="K16" s="22" t="str">
        <f>"50,0"</f>
        <v>50,0</v>
      </c>
      <c r="L16" s="23" t="str">
        <f>"80,7680"</f>
        <v>80,7680</v>
      </c>
      <c r="M16" s="22" t="s">
        <v>123</v>
      </c>
    </row>
    <row r="18" spans="1:12" ht="15">
      <c r="A18" s="52" t="s">
        <v>86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3" ht="12.75">
      <c r="A19" s="19" t="s">
        <v>563</v>
      </c>
      <c r="B19" s="19" t="s">
        <v>564</v>
      </c>
      <c r="C19" s="19" t="s">
        <v>367</v>
      </c>
      <c r="D19" s="19" t="str">
        <f>"0,9035"</f>
        <v>0,9035</v>
      </c>
      <c r="E19" s="19" t="s">
        <v>119</v>
      </c>
      <c r="F19" s="19" t="s">
        <v>120</v>
      </c>
      <c r="G19" s="20" t="s">
        <v>94</v>
      </c>
      <c r="H19" s="20" t="s">
        <v>81</v>
      </c>
      <c r="I19" s="20" t="s">
        <v>111</v>
      </c>
      <c r="J19" s="21"/>
      <c r="K19" s="19" t="str">
        <f>"77,5"</f>
        <v>77,5</v>
      </c>
      <c r="L19" s="20" t="str">
        <f>"86,1261"</f>
        <v>86,1261</v>
      </c>
      <c r="M19" s="19" t="s">
        <v>123</v>
      </c>
    </row>
    <row r="20" spans="1:13" ht="12.75">
      <c r="A20" s="22" t="s">
        <v>566</v>
      </c>
      <c r="B20" s="22" t="s">
        <v>567</v>
      </c>
      <c r="C20" s="22" t="s">
        <v>367</v>
      </c>
      <c r="D20" s="22" t="str">
        <f>"0,9035"</f>
        <v>0,9035</v>
      </c>
      <c r="E20" s="22" t="s">
        <v>119</v>
      </c>
      <c r="F20" s="22" t="s">
        <v>120</v>
      </c>
      <c r="G20" s="23" t="s">
        <v>94</v>
      </c>
      <c r="H20" s="23" t="s">
        <v>81</v>
      </c>
      <c r="I20" s="23" t="s">
        <v>102</v>
      </c>
      <c r="J20" s="24"/>
      <c r="K20" s="22" t="str">
        <f>"75,0"</f>
        <v>75,0</v>
      </c>
      <c r="L20" s="23" t="str">
        <f>"83,3479"</f>
        <v>83,3479</v>
      </c>
      <c r="M20" s="22" t="s">
        <v>123</v>
      </c>
    </row>
    <row r="22" spans="1:12" ht="15">
      <c r="A22" s="52" t="s">
        <v>114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3" ht="12.75">
      <c r="A23" s="19" t="s">
        <v>569</v>
      </c>
      <c r="B23" s="19" t="s">
        <v>570</v>
      </c>
      <c r="C23" s="19" t="s">
        <v>397</v>
      </c>
      <c r="D23" s="19" t="str">
        <f>"0,7741"</f>
        <v>0,7741</v>
      </c>
      <c r="E23" s="19" t="s">
        <v>119</v>
      </c>
      <c r="F23" s="19" t="s">
        <v>120</v>
      </c>
      <c r="G23" s="20" t="s">
        <v>194</v>
      </c>
      <c r="H23" s="20" t="s">
        <v>440</v>
      </c>
      <c r="I23" s="20" t="s">
        <v>132</v>
      </c>
      <c r="J23" s="21"/>
      <c r="K23" s="19" t="str">
        <f>"140,0"</f>
        <v>140,0</v>
      </c>
      <c r="L23" s="20" t="str">
        <f>"122,4626"</f>
        <v>122,4626</v>
      </c>
      <c r="M23" s="19" t="s">
        <v>123</v>
      </c>
    </row>
    <row r="24" spans="1:13" ht="12.75">
      <c r="A24" s="22" t="s">
        <v>572</v>
      </c>
      <c r="B24" s="22" t="s">
        <v>573</v>
      </c>
      <c r="C24" s="22" t="s">
        <v>118</v>
      </c>
      <c r="D24" s="22" t="str">
        <f>"0,7524"</f>
        <v>0,7524</v>
      </c>
      <c r="E24" s="22" t="s">
        <v>60</v>
      </c>
      <c r="F24" s="22" t="s">
        <v>29</v>
      </c>
      <c r="G24" s="23" t="s">
        <v>129</v>
      </c>
      <c r="H24" s="23" t="s">
        <v>130</v>
      </c>
      <c r="I24" s="23" t="s">
        <v>211</v>
      </c>
      <c r="J24" s="24"/>
      <c r="K24" s="22" t="str">
        <f>"167,5"</f>
        <v>167,5</v>
      </c>
      <c r="L24" s="23" t="str">
        <f>"133,5886"</f>
        <v>133,5886</v>
      </c>
      <c r="M24" s="22" t="s">
        <v>574</v>
      </c>
    </row>
    <row r="26" spans="1:12" ht="15">
      <c r="A26" s="52" t="s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 ht="12.75">
      <c r="A27" s="10" t="s">
        <v>576</v>
      </c>
      <c r="B27" s="10" t="s">
        <v>577</v>
      </c>
      <c r="C27" s="10" t="s">
        <v>578</v>
      </c>
      <c r="D27" s="10" t="str">
        <f>"0,6867"</f>
        <v>0,6867</v>
      </c>
      <c r="E27" s="10" t="s">
        <v>119</v>
      </c>
      <c r="F27" s="10" t="s">
        <v>120</v>
      </c>
      <c r="G27" s="11" t="s">
        <v>130</v>
      </c>
      <c r="H27" s="11" t="s">
        <v>203</v>
      </c>
      <c r="I27" s="12" t="s">
        <v>212</v>
      </c>
      <c r="J27" s="12"/>
      <c r="K27" s="10" t="str">
        <f>"175,0"</f>
        <v>175,0</v>
      </c>
      <c r="L27" s="11" t="str">
        <f>"129,7863"</f>
        <v>129,7863</v>
      </c>
      <c r="M27" s="10" t="s">
        <v>123</v>
      </c>
    </row>
    <row r="29" spans="1:12" ht="15">
      <c r="A29" s="52" t="s">
        <v>206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3" ht="12.75">
      <c r="A30" s="19" t="s">
        <v>580</v>
      </c>
      <c r="B30" s="19" t="s">
        <v>581</v>
      </c>
      <c r="C30" s="19" t="s">
        <v>210</v>
      </c>
      <c r="D30" s="19" t="str">
        <f>"0,6193"</f>
        <v>0,6193</v>
      </c>
      <c r="E30" s="19" t="s">
        <v>60</v>
      </c>
      <c r="F30" s="19" t="s">
        <v>231</v>
      </c>
      <c r="G30" s="20" t="s">
        <v>187</v>
      </c>
      <c r="H30" s="20" t="s">
        <v>132</v>
      </c>
      <c r="I30" s="20" t="s">
        <v>179</v>
      </c>
      <c r="J30" s="21"/>
      <c r="K30" s="19" t="str">
        <f>"145,0"</f>
        <v>145,0</v>
      </c>
      <c r="L30" s="20" t="str">
        <f>"95,1864"</f>
        <v>95,1864</v>
      </c>
      <c r="M30" s="19" t="s">
        <v>205</v>
      </c>
    </row>
    <row r="31" spans="1:13" ht="12.75">
      <c r="A31" s="25" t="s">
        <v>583</v>
      </c>
      <c r="B31" s="25" t="s">
        <v>584</v>
      </c>
      <c r="C31" s="25" t="s">
        <v>210</v>
      </c>
      <c r="D31" s="25" t="str">
        <f>"0,6193"</f>
        <v>0,6193</v>
      </c>
      <c r="E31" s="25" t="s">
        <v>60</v>
      </c>
      <c r="F31" s="25" t="s">
        <v>585</v>
      </c>
      <c r="G31" s="26" t="s">
        <v>212</v>
      </c>
      <c r="H31" s="26" t="s">
        <v>213</v>
      </c>
      <c r="I31" s="26" t="s">
        <v>221</v>
      </c>
      <c r="J31" s="27"/>
      <c r="K31" s="25" t="str">
        <f>"195,0"</f>
        <v>195,0</v>
      </c>
      <c r="L31" s="26" t="str">
        <f>"120,7635"</f>
        <v>120,7635</v>
      </c>
      <c r="M31" s="25" t="s">
        <v>205</v>
      </c>
    </row>
    <row r="32" spans="1:13" ht="12.75">
      <c r="A32" s="25" t="s">
        <v>587</v>
      </c>
      <c r="B32" s="25" t="s">
        <v>588</v>
      </c>
      <c r="C32" s="25" t="s">
        <v>589</v>
      </c>
      <c r="D32" s="25" t="str">
        <f>"0,6312"</f>
        <v>0,6312</v>
      </c>
      <c r="E32" s="25" t="s">
        <v>60</v>
      </c>
      <c r="F32" s="25" t="s">
        <v>585</v>
      </c>
      <c r="G32" s="26" t="s">
        <v>203</v>
      </c>
      <c r="H32" s="26" t="s">
        <v>220</v>
      </c>
      <c r="I32" s="26" t="s">
        <v>349</v>
      </c>
      <c r="J32" s="27"/>
      <c r="K32" s="25" t="str">
        <f>"187,5"</f>
        <v>187,5</v>
      </c>
      <c r="L32" s="26" t="str">
        <f>"118,3500"</f>
        <v>118,3500</v>
      </c>
      <c r="M32" s="25" t="s">
        <v>205</v>
      </c>
    </row>
    <row r="33" spans="1:13" ht="12.75">
      <c r="A33" s="22" t="s">
        <v>591</v>
      </c>
      <c r="B33" s="22" t="s">
        <v>592</v>
      </c>
      <c r="C33" s="22" t="s">
        <v>210</v>
      </c>
      <c r="D33" s="22" t="str">
        <f>"0,6193"</f>
        <v>0,6193</v>
      </c>
      <c r="E33" s="22" t="s">
        <v>60</v>
      </c>
      <c r="F33" s="22" t="s">
        <v>29</v>
      </c>
      <c r="G33" s="24" t="s">
        <v>203</v>
      </c>
      <c r="H33" s="23" t="s">
        <v>203</v>
      </c>
      <c r="I33" s="23" t="s">
        <v>212</v>
      </c>
      <c r="J33" s="24"/>
      <c r="K33" s="22" t="str">
        <f>"180,0"</f>
        <v>180,0</v>
      </c>
      <c r="L33" s="23" t="str">
        <f>"111,4740"</f>
        <v>111,4740</v>
      </c>
      <c r="M33" s="22" t="s">
        <v>205</v>
      </c>
    </row>
    <row r="35" spans="1:12" ht="15">
      <c r="A35" s="52" t="s">
        <v>233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3" ht="12.75">
      <c r="A36" s="19" t="s">
        <v>594</v>
      </c>
      <c r="B36" s="19" t="s">
        <v>595</v>
      </c>
      <c r="C36" s="19" t="s">
        <v>248</v>
      </c>
      <c r="D36" s="19" t="str">
        <f>"0,5865"</f>
        <v>0,5865</v>
      </c>
      <c r="E36" s="19" t="s">
        <v>60</v>
      </c>
      <c r="F36" s="19" t="s">
        <v>29</v>
      </c>
      <c r="G36" s="20" t="s">
        <v>130</v>
      </c>
      <c r="H36" s="21" t="s">
        <v>227</v>
      </c>
      <c r="I36" s="21" t="s">
        <v>227</v>
      </c>
      <c r="J36" s="21"/>
      <c r="K36" s="19" t="str">
        <f>"160,0"</f>
        <v>160,0</v>
      </c>
      <c r="L36" s="20" t="str">
        <f>"97,5936"</f>
        <v>97,5936</v>
      </c>
      <c r="M36" s="19" t="s">
        <v>596</v>
      </c>
    </row>
    <row r="37" spans="1:13" ht="12.75">
      <c r="A37" s="22" t="s">
        <v>598</v>
      </c>
      <c r="B37" s="22" t="s">
        <v>599</v>
      </c>
      <c r="C37" s="22" t="s">
        <v>600</v>
      </c>
      <c r="D37" s="22" t="str">
        <f>"0,5853"</f>
        <v>0,5853</v>
      </c>
      <c r="E37" s="22" t="s">
        <v>60</v>
      </c>
      <c r="F37" s="22" t="s">
        <v>29</v>
      </c>
      <c r="G37" s="24" t="s">
        <v>239</v>
      </c>
      <c r="H37" s="23" t="s">
        <v>250</v>
      </c>
      <c r="I37" s="23" t="s">
        <v>214</v>
      </c>
      <c r="J37" s="24"/>
      <c r="K37" s="22" t="str">
        <f>"220,0"</f>
        <v>220,0</v>
      </c>
      <c r="L37" s="23" t="str">
        <f>"128,7660"</f>
        <v>128,7660</v>
      </c>
      <c r="M37" s="22" t="s">
        <v>205</v>
      </c>
    </row>
    <row r="39" spans="1:12" ht="15">
      <c r="A39" s="52" t="s">
        <v>251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3" ht="12.75">
      <c r="A40" s="19" t="s">
        <v>602</v>
      </c>
      <c r="B40" s="19" t="s">
        <v>603</v>
      </c>
      <c r="C40" s="19" t="s">
        <v>604</v>
      </c>
      <c r="D40" s="19" t="str">
        <f>"0,5563"</f>
        <v>0,5563</v>
      </c>
      <c r="E40" s="19" t="s">
        <v>60</v>
      </c>
      <c r="F40" s="19" t="s">
        <v>29</v>
      </c>
      <c r="G40" s="20" t="s">
        <v>243</v>
      </c>
      <c r="H40" s="20" t="s">
        <v>350</v>
      </c>
      <c r="I40" s="21" t="s">
        <v>605</v>
      </c>
      <c r="J40" s="21"/>
      <c r="K40" s="19" t="str">
        <f>"260,0"</f>
        <v>260,0</v>
      </c>
      <c r="L40" s="20" t="str">
        <f>"144,6380"</f>
        <v>144,6380</v>
      </c>
      <c r="M40" s="19" t="s">
        <v>205</v>
      </c>
    </row>
    <row r="41" spans="1:13" ht="12.75">
      <c r="A41" s="25" t="s">
        <v>607</v>
      </c>
      <c r="B41" s="25" t="s">
        <v>608</v>
      </c>
      <c r="C41" s="25" t="s">
        <v>609</v>
      </c>
      <c r="D41" s="25" t="str">
        <f>"0,5663"</f>
        <v>0,5663</v>
      </c>
      <c r="E41" s="25" t="s">
        <v>28</v>
      </c>
      <c r="F41" s="25" t="s">
        <v>29</v>
      </c>
      <c r="G41" s="26" t="s">
        <v>242</v>
      </c>
      <c r="H41" s="26" t="s">
        <v>243</v>
      </c>
      <c r="I41" s="26" t="s">
        <v>302</v>
      </c>
      <c r="J41" s="27"/>
      <c r="K41" s="25" t="str">
        <f>"255,0"</f>
        <v>255,0</v>
      </c>
      <c r="L41" s="26" t="str">
        <f>"144,4065"</f>
        <v>144,4065</v>
      </c>
      <c r="M41" s="25" t="s">
        <v>205</v>
      </c>
    </row>
    <row r="42" spans="1:13" ht="12.75">
      <c r="A42" s="22" t="s">
        <v>610</v>
      </c>
      <c r="B42" s="22" t="s">
        <v>254</v>
      </c>
      <c r="C42" s="22" t="s">
        <v>255</v>
      </c>
      <c r="D42" s="22" t="str">
        <f>"0,5568"</f>
        <v>0,5568</v>
      </c>
      <c r="E42" s="22" t="s">
        <v>60</v>
      </c>
      <c r="F42" s="22" t="s">
        <v>256</v>
      </c>
      <c r="G42" s="23" t="s">
        <v>250</v>
      </c>
      <c r="H42" s="23" t="s">
        <v>214</v>
      </c>
      <c r="I42" s="23" t="s">
        <v>215</v>
      </c>
      <c r="J42" s="24"/>
      <c r="K42" s="22" t="str">
        <f>"230,0"</f>
        <v>230,0</v>
      </c>
      <c r="L42" s="23" t="str">
        <f>"128,0640"</f>
        <v>128,0640</v>
      </c>
      <c r="M42" s="22" t="s">
        <v>205</v>
      </c>
    </row>
    <row r="44" ht="15">
      <c r="E44" s="8" t="s">
        <v>13</v>
      </c>
    </row>
    <row r="45" ht="15">
      <c r="E45" s="8" t="s">
        <v>14</v>
      </c>
    </row>
    <row r="46" ht="15">
      <c r="E46" s="8" t="s">
        <v>15</v>
      </c>
    </row>
    <row r="47" ht="15">
      <c r="E47" s="8" t="s">
        <v>16</v>
      </c>
    </row>
    <row r="48" ht="15">
      <c r="E48" s="8" t="s">
        <v>16</v>
      </c>
    </row>
    <row r="49" ht="15">
      <c r="E49" s="8" t="s">
        <v>17</v>
      </c>
    </row>
    <row r="50" ht="15">
      <c r="E50" s="8"/>
    </row>
    <row r="52" spans="1:2" ht="18">
      <c r="A52" s="9" t="s">
        <v>18</v>
      </c>
      <c r="B52" s="9"/>
    </row>
    <row r="53" spans="1:2" ht="15">
      <c r="A53" s="13" t="s">
        <v>38</v>
      </c>
      <c r="B53" s="13"/>
    </row>
    <row r="54" spans="1:2" ht="14.25">
      <c r="A54" s="15"/>
      <c r="B54" s="16" t="s">
        <v>39</v>
      </c>
    </row>
    <row r="55" spans="1:5" ht="15">
      <c r="A55" s="17" t="s">
        <v>40</v>
      </c>
      <c r="B55" s="17" t="s">
        <v>41</v>
      </c>
      <c r="C55" s="17" t="s">
        <v>42</v>
      </c>
      <c r="D55" s="17" t="s">
        <v>43</v>
      </c>
      <c r="E55" s="17" t="s">
        <v>44</v>
      </c>
    </row>
    <row r="56" spans="1:5" ht="12.75">
      <c r="A56" s="14" t="s">
        <v>534</v>
      </c>
      <c r="B56" s="4" t="s">
        <v>263</v>
      </c>
      <c r="C56" s="4" t="s">
        <v>274</v>
      </c>
      <c r="D56" s="4" t="s">
        <v>262</v>
      </c>
      <c r="E56" s="18" t="s">
        <v>611</v>
      </c>
    </row>
    <row r="58" spans="1:2" ht="14.25">
      <c r="A58" s="15"/>
      <c r="B58" s="16" t="s">
        <v>269</v>
      </c>
    </row>
    <row r="59" spans="1:5" ht="15">
      <c r="A59" s="17" t="s">
        <v>40</v>
      </c>
      <c r="B59" s="17" t="s">
        <v>41</v>
      </c>
      <c r="C59" s="17" t="s">
        <v>42</v>
      </c>
      <c r="D59" s="17" t="s">
        <v>43</v>
      </c>
      <c r="E59" s="17" t="s">
        <v>44</v>
      </c>
    </row>
    <row r="60" spans="1:5" ht="12.75">
      <c r="A60" s="14" t="s">
        <v>546</v>
      </c>
      <c r="B60" s="4" t="s">
        <v>270</v>
      </c>
      <c r="C60" s="4" t="s">
        <v>264</v>
      </c>
      <c r="D60" s="4" t="s">
        <v>32</v>
      </c>
      <c r="E60" s="18" t="s">
        <v>612</v>
      </c>
    </row>
    <row r="62" spans="1:2" ht="14.25">
      <c r="A62" s="15"/>
      <c r="B62" s="16" t="s">
        <v>278</v>
      </c>
    </row>
    <row r="63" spans="1:5" ht="15">
      <c r="A63" s="17" t="s">
        <v>40</v>
      </c>
      <c r="B63" s="17" t="s">
        <v>41</v>
      </c>
      <c r="C63" s="17" t="s">
        <v>42</v>
      </c>
      <c r="D63" s="17" t="s">
        <v>43</v>
      </c>
      <c r="E63" s="17" t="s">
        <v>44</v>
      </c>
    </row>
    <row r="64" spans="1:5" ht="12.75">
      <c r="A64" s="14" t="s">
        <v>537</v>
      </c>
      <c r="B64" s="4" t="s">
        <v>278</v>
      </c>
      <c r="C64" s="4" t="s">
        <v>274</v>
      </c>
      <c r="D64" s="4" t="s">
        <v>193</v>
      </c>
      <c r="E64" s="18" t="s">
        <v>613</v>
      </c>
    </row>
    <row r="65" spans="1:5" ht="12.75">
      <c r="A65" s="14" t="s">
        <v>540</v>
      </c>
      <c r="B65" s="4" t="s">
        <v>278</v>
      </c>
      <c r="C65" s="4" t="s">
        <v>274</v>
      </c>
      <c r="D65" s="4" t="s">
        <v>398</v>
      </c>
      <c r="E65" s="18" t="s">
        <v>614</v>
      </c>
    </row>
    <row r="67" spans="1:2" ht="14.25">
      <c r="A67" s="15"/>
      <c r="B67" s="16" t="s">
        <v>329</v>
      </c>
    </row>
    <row r="68" spans="1:5" ht="15">
      <c r="A68" s="17" t="s">
        <v>40</v>
      </c>
      <c r="B68" s="17" t="s">
        <v>41</v>
      </c>
      <c r="C68" s="17" t="s">
        <v>42</v>
      </c>
      <c r="D68" s="17" t="s">
        <v>43</v>
      </c>
      <c r="E68" s="17" t="s">
        <v>44</v>
      </c>
    </row>
    <row r="69" spans="1:5" ht="12.75">
      <c r="A69" s="14" t="s">
        <v>550</v>
      </c>
      <c r="B69" s="4" t="s">
        <v>330</v>
      </c>
      <c r="C69" s="4" t="s">
        <v>264</v>
      </c>
      <c r="D69" s="4" t="s">
        <v>36</v>
      </c>
      <c r="E69" s="18" t="s">
        <v>615</v>
      </c>
    </row>
    <row r="72" spans="1:2" ht="15">
      <c r="A72" s="13" t="s">
        <v>284</v>
      </c>
      <c r="B72" s="13"/>
    </row>
    <row r="73" spans="1:2" ht="14.25">
      <c r="A73" s="15"/>
      <c r="B73" s="16" t="s">
        <v>285</v>
      </c>
    </row>
    <row r="74" spans="1:5" ht="15">
      <c r="A74" s="17" t="s">
        <v>40</v>
      </c>
      <c r="B74" s="17" t="s">
        <v>41</v>
      </c>
      <c r="C74" s="17" t="s">
        <v>42</v>
      </c>
      <c r="D74" s="17" t="s">
        <v>43</v>
      </c>
      <c r="E74" s="17" t="s">
        <v>44</v>
      </c>
    </row>
    <row r="75" spans="1:5" ht="12.75">
      <c r="A75" s="14" t="s">
        <v>571</v>
      </c>
      <c r="B75" s="4" t="s">
        <v>45</v>
      </c>
      <c r="C75" s="4" t="s">
        <v>264</v>
      </c>
      <c r="D75" s="4" t="s">
        <v>211</v>
      </c>
      <c r="E75" s="18" t="s">
        <v>616</v>
      </c>
    </row>
    <row r="76" spans="1:5" ht="12.75">
      <c r="A76" s="14" t="s">
        <v>575</v>
      </c>
      <c r="B76" s="4" t="s">
        <v>286</v>
      </c>
      <c r="C76" s="4" t="s">
        <v>46</v>
      </c>
      <c r="D76" s="4" t="s">
        <v>203</v>
      </c>
      <c r="E76" s="18" t="s">
        <v>617</v>
      </c>
    </row>
    <row r="77" spans="1:5" ht="12.75">
      <c r="A77" s="14" t="s">
        <v>568</v>
      </c>
      <c r="B77" s="4" t="s">
        <v>286</v>
      </c>
      <c r="C77" s="4" t="s">
        <v>264</v>
      </c>
      <c r="D77" s="4" t="s">
        <v>132</v>
      </c>
      <c r="E77" s="18" t="s">
        <v>618</v>
      </c>
    </row>
    <row r="78" spans="1:5" ht="12.75">
      <c r="A78" s="14" t="s">
        <v>593</v>
      </c>
      <c r="B78" s="4" t="s">
        <v>45</v>
      </c>
      <c r="C78" s="4" t="s">
        <v>315</v>
      </c>
      <c r="D78" s="4" t="s">
        <v>130</v>
      </c>
      <c r="E78" s="18" t="s">
        <v>619</v>
      </c>
    </row>
    <row r="79" spans="1:5" ht="12.75">
      <c r="A79" s="14" t="s">
        <v>554</v>
      </c>
      <c r="B79" s="4" t="s">
        <v>266</v>
      </c>
      <c r="C79" s="4" t="s">
        <v>279</v>
      </c>
      <c r="D79" s="4" t="s">
        <v>81</v>
      </c>
      <c r="E79" s="18" t="s">
        <v>620</v>
      </c>
    </row>
    <row r="80" spans="1:5" ht="12.75">
      <c r="A80" s="14" t="s">
        <v>579</v>
      </c>
      <c r="B80" s="4" t="s">
        <v>45</v>
      </c>
      <c r="C80" s="4" t="s">
        <v>287</v>
      </c>
      <c r="D80" s="4" t="s">
        <v>179</v>
      </c>
      <c r="E80" s="18" t="s">
        <v>621</v>
      </c>
    </row>
    <row r="81" spans="1:5" ht="12.75">
      <c r="A81" s="14" t="s">
        <v>562</v>
      </c>
      <c r="B81" s="4" t="s">
        <v>266</v>
      </c>
      <c r="C81" s="4" t="s">
        <v>274</v>
      </c>
      <c r="D81" s="4" t="s">
        <v>111</v>
      </c>
      <c r="E81" s="18" t="s">
        <v>622</v>
      </c>
    </row>
    <row r="82" spans="1:5" ht="12.75">
      <c r="A82" s="14" t="s">
        <v>565</v>
      </c>
      <c r="B82" s="4" t="s">
        <v>266</v>
      </c>
      <c r="C82" s="4" t="s">
        <v>274</v>
      </c>
      <c r="D82" s="4" t="s">
        <v>102</v>
      </c>
      <c r="E82" s="18" t="s">
        <v>623</v>
      </c>
    </row>
    <row r="83" spans="1:5" ht="12.75">
      <c r="A83" s="14" t="s">
        <v>558</v>
      </c>
      <c r="B83" s="4" t="s">
        <v>266</v>
      </c>
      <c r="C83" s="4" t="s">
        <v>279</v>
      </c>
      <c r="D83" s="4" t="s">
        <v>121</v>
      </c>
      <c r="E83" s="18" t="s">
        <v>624</v>
      </c>
    </row>
    <row r="85" spans="1:2" ht="14.25">
      <c r="A85" s="15"/>
      <c r="B85" s="16" t="s">
        <v>278</v>
      </c>
    </row>
    <row r="86" spans="1:5" ht="15">
      <c r="A86" s="17" t="s">
        <v>40</v>
      </c>
      <c r="B86" s="17" t="s">
        <v>41</v>
      </c>
      <c r="C86" s="17" t="s">
        <v>42</v>
      </c>
      <c r="D86" s="17" t="s">
        <v>43</v>
      </c>
      <c r="E86" s="17" t="s">
        <v>44</v>
      </c>
    </row>
    <row r="87" spans="1:5" ht="12.75">
      <c r="A87" s="14" t="s">
        <v>601</v>
      </c>
      <c r="B87" s="4" t="s">
        <v>278</v>
      </c>
      <c r="C87" s="4" t="s">
        <v>320</v>
      </c>
      <c r="D87" s="4" t="s">
        <v>350</v>
      </c>
      <c r="E87" s="18" t="s">
        <v>625</v>
      </c>
    </row>
    <row r="88" spans="1:5" ht="12.75">
      <c r="A88" s="14" t="s">
        <v>606</v>
      </c>
      <c r="B88" s="4" t="s">
        <v>278</v>
      </c>
      <c r="C88" s="4" t="s">
        <v>320</v>
      </c>
      <c r="D88" s="4" t="s">
        <v>302</v>
      </c>
      <c r="E88" s="18" t="s">
        <v>626</v>
      </c>
    </row>
    <row r="89" spans="1:5" ht="12.75">
      <c r="A89" s="14" t="s">
        <v>597</v>
      </c>
      <c r="B89" s="4" t="s">
        <v>278</v>
      </c>
      <c r="C89" s="4" t="s">
        <v>315</v>
      </c>
      <c r="D89" s="4" t="s">
        <v>214</v>
      </c>
      <c r="E89" s="18" t="s">
        <v>627</v>
      </c>
    </row>
    <row r="90" spans="1:5" ht="12.75">
      <c r="A90" s="14" t="s">
        <v>252</v>
      </c>
      <c r="B90" s="4" t="s">
        <v>278</v>
      </c>
      <c r="C90" s="4" t="s">
        <v>320</v>
      </c>
      <c r="D90" s="4" t="s">
        <v>215</v>
      </c>
      <c r="E90" s="18" t="s">
        <v>628</v>
      </c>
    </row>
    <row r="91" spans="1:5" ht="12.75">
      <c r="A91" s="14" t="s">
        <v>582</v>
      </c>
      <c r="B91" s="4" t="s">
        <v>278</v>
      </c>
      <c r="C91" s="4" t="s">
        <v>287</v>
      </c>
      <c r="D91" s="4" t="s">
        <v>221</v>
      </c>
      <c r="E91" s="18" t="s">
        <v>629</v>
      </c>
    </row>
    <row r="92" spans="1:5" ht="12.75">
      <c r="A92" s="14" t="s">
        <v>586</v>
      </c>
      <c r="B92" s="4" t="s">
        <v>278</v>
      </c>
      <c r="C92" s="4" t="s">
        <v>287</v>
      </c>
      <c r="D92" s="4" t="s">
        <v>349</v>
      </c>
      <c r="E92" s="18" t="s">
        <v>630</v>
      </c>
    </row>
    <row r="93" spans="1:5" ht="12.75">
      <c r="A93" s="14" t="s">
        <v>590</v>
      </c>
      <c r="B93" s="4" t="s">
        <v>278</v>
      </c>
      <c r="C93" s="4" t="s">
        <v>287</v>
      </c>
      <c r="D93" s="4" t="s">
        <v>212</v>
      </c>
      <c r="E93" s="18" t="s">
        <v>631</v>
      </c>
    </row>
    <row r="98" spans="1:2" ht="18">
      <c r="A98" s="9" t="s">
        <v>49</v>
      </c>
      <c r="B98" s="9"/>
    </row>
    <row r="99" spans="1:3" ht="15">
      <c r="A99" s="17" t="s">
        <v>50</v>
      </c>
      <c r="B99" s="17" t="s">
        <v>51</v>
      </c>
      <c r="C99" s="17" t="s">
        <v>52</v>
      </c>
    </row>
    <row r="100" spans="1:3" ht="12.75">
      <c r="A100" s="4" t="s">
        <v>119</v>
      </c>
      <c r="B100" s="4" t="s">
        <v>632</v>
      </c>
      <c r="C100" s="4" t="s">
        <v>633</v>
      </c>
    </row>
    <row r="101" spans="1:3" ht="12.75">
      <c r="A101" s="4" t="s">
        <v>150</v>
      </c>
      <c r="B101" s="4" t="s">
        <v>343</v>
      </c>
      <c r="C101" s="4" t="s">
        <v>634</v>
      </c>
    </row>
    <row r="102" spans="1:3" ht="12.75">
      <c r="A102" s="4" t="s">
        <v>28</v>
      </c>
      <c r="B102" s="4" t="s">
        <v>635</v>
      </c>
      <c r="C102" s="4" t="s">
        <v>636</v>
      </c>
    </row>
  </sheetData>
  <sheetProtection/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A39:L39"/>
    <mergeCell ref="K3:K4"/>
    <mergeCell ref="L3:L4"/>
    <mergeCell ref="M3:M4"/>
    <mergeCell ref="A5:L5"/>
    <mergeCell ref="A10:L10"/>
    <mergeCell ref="A14:L14"/>
    <mergeCell ref="A18:L18"/>
    <mergeCell ref="A22:L22"/>
    <mergeCell ref="A26:L26"/>
    <mergeCell ref="A29:L29"/>
    <mergeCell ref="A35:L3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6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1" t="s">
        <v>820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21</v>
      </c>
      <c r="H3" s="48"/>
      <c r="I3" s="48"/>
      <c r="J3" s="48"/>
      <c r="K3" s="48" t="s">
        <v>355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206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0" t="s">
        <v>529</v>
      </c>
      <c r="B6" s="10" t="s">
        <v>530</v>
      </c>
      <c r="C6" s="10" t="s">
        <v>531</v>
      </c>
      <c r="D6" s="10" t="str">
        <f>"0,6251"</f>
        <v>0,6251</v>
      </c>
      <c r="E6" s="10" t="s">
        <v>60</v>
      </c>
      <c r="F6" s="10" t="s">
        <v>532</v>
      </c>
      <c r="G6" s="11" t="s">
        <v>213</v>
      </c>
      <c r="H6" s="12" t="s">
        <v>240</v>
      </c>
      <c r="I6" s="12" t="s">
        <v>240</v>
      </c>
      <c r="J6" s="12"/>
      <c r="K6" s="10" t="str">
        <f>"190,0"</f>
        <v>190,0</v>
      </c>
      <c r="L6" s="11" t="str">
        <f>"118,7690"</f>
        <v>118,7690</v>
      </c>
      <c r="M6" s="10" t="s">
        <v>205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284</v>
      </c>
      <c r="B17" s="13"/>
    </row>
    <row r="18" spans="1:2" ht="14.25">
      <c r="A18" s="15"/>
      <c r="B18" s="16" t="s">
        <v>278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44</v>
      </c>
    </row>
    <row r="20" spans="1:5" ht="12.75">
      <c r="A20" s="14" t="s">
        <v>528</v>
      </c>
      <c r="B20" s="4" t="s">
        <v>278</v>
      </c>
      <c r="C20" s="4" t="s">
        <v>287</v>
      </c>
      <c r="D20" s="4" t="s">
        <v>213</v>
      </c>
      <c r="E20" s="18" t="s">
        <v>533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875" style="4" bestFit="1" customWidth="1"/>
    <col min="7" max="7" width="5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804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730</v>
      </c>
      <c r="E3" s="48" t="s">
        <v>7</v>
      </c>
      <c r="F3" s="48" t="s">
        <v>12</v>
      </c>
      <c r="G3" s="48" t="s">
        <v>781</v>
      </c>
      <c r="H3" s="48"/>
      <c r="I3" s="48" t="s">
        <v>695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693</v>
      </c>
      <c r="H4" s="28" t="s">
        <v>694</v>
      </c>
      <c r="I4" s="47"/>
      <c r="J4" s="47"/>
      <c r="K4" s="37"/>
    </row>
    <row r="5" spans="1:10" ht="15">
      <c r="A5" s="49" t="s">
        <v>732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638</v>
      </c>
      <c r="B6" s="10" t="s">
        <v>639</v>
      </c>
      <c r="C6" s="10" t="s">
        <v>640</v>
      </c>
      <c r="D6" s="10" t="str">
        <f>"1,0000"</f>
        <v>1,0000</v>
      </c>
      <c r="E6" s="10" t="s">
        <v>60</v>
      </c>
      <c r="F6" s="10" t="s">
        <v>29</v>
      </c>
      <c r="G6" s="11" t="s">
        <v>239</v>
      </c>
      <c r="H6" s="30" t="s">
        <v>62</v>
      </c>
      <c r="I6" s="10" t="str">
        <f>"4000,0"</f>
        <v>4000,0</v>
      </c>
      <c r="J6" s="11" t="str">
        <f>"48,5436"</f>
        <v>48,5436</v>
      </c>
      <c r="K6" s="10" t="s">
        <v>205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284</v>
      </c>
      <c r="B17" s="13"/>
    </row>
    <row r="18" spans="1:2" ht="14.25">
      <c r="A18" s="15"/>
      <c r="B18" s="16" t="s">
        <v>278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737</v>
      </c>
    </row>
    <row r="20" spans="1:5" ht="12.75">
      <c r="A20" s="14" t="s">
        <v>637</v>
      </c>
      <c r="B20" s="4" t="s">
        <v>278</v>
      </c>
      <c r="C20" s="4" t="s">
        <v>738</v>
      </c>
      <c r="D20" s="4" t="s">
        <v>802</v>
      </c>
      <c r="E20" s="18" t="s">
        <v>803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7.375" style="4" customWidth="1"/>
    <col min="4" max="4" width="9.25390625" style="4" bestFit="1" customWidth="1"/>
    <col min="5" max="5" width="19.75390625" style="4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1.375" style="4" bestFit="1" customWidth="1"/>
    <col min="14" max="16384" width="9.125" style="3" customWidth="1"/>
  </cols>
  <sheetData>
    <row r="1" spans="1:13" s="2" customFormat="1" ht="28.5" customHeight="1">
      <c r="A1" s="51" t="s">
        <v>821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21</v>
      </c>
      <c r="H3" s="48"/>
      <c r="I3" s="48"/>
      <c r="J3" s="48"/>
      <c r="K3" s="48" t="s">
        <v>355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233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0" t="s">
        <v>499</v>
      </c>
      <c r="B6" s="10" t="s">
        <v>500</v>
      </c>
      <c r="C6" s="10" t="s">
        <v>501</v>
      </c>
      <c r="D6" s="10" t="str">
        <f>"0,5965"</f>
        <v>0,5965</v>
      </c>
      <c r="E6" s="10" t="s">
        <v>60</v>
      </c>
      <c r="F6" s="10" t="s">
        <v>29</v>
      </c>
      <c r="G6" s="11" t="s">
        <v>129</v>
      </c>
      <c r="H6" s="11" t="s">
        <v>130</v>
      </c>
      <c r="I6" s="12" t="s">
        <v>227</v>
      </c>
      <c r="J6" s="12"/>
      <c r="K6" s="10" t="str">
        <f>"160,0"</f>
        <v>160,0</v>
      </c>
      <c r="L6" s="11" t="str">
        <f>"95,4400"</f>
        <v>95,4400</v>
      </c>
      <c r="M6" s="10" t="s">
        <v>205</v>
      </c>
    </row>
    <row r="8" spans="1:12" ht="15">
      <c r="A8" s="52" t="s">
        <v>257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19" t="s">
        <v>503</v>
      </c>
      <c r="B9" s="19" t="s">
        <v>504</v>
      </c>
      <c r="C9" s="19" t="s">
        <v>453</v>
      </c>
      <c r="D9" s="19" t="str">
        <f>"0,5377"</f>
        <v>0,5377</v>
      </c>
      <c r="E9" s="19" t="s">
        <v>150</v>
      </c>
      <c r="F9" s="19" t="s">
        <v>61</v>
      </c>
      <c r="G9" s="20" t="s">
        <v>212</v>
      </c>
      <c r="H9" s="20" t="s">
        <v>213</v>
      </c>
      <c r="I9" s="20" t="s">
        <v>505</v>
      </c>
      <c r="J9" s="21"/>
      <c r="K9" s="19" t="str">
        <f>"197,5"</f>
        <v>197,5</v>
      </c>
      <c r="L9" s="20" t="str">
        <f>"106,1957"</f>
        <v>106,1957</v>
      </c>
      <c r="M9" s="19" t="s">
        <v>205</v>
      </c>
    </row>
    <row r="10" spans="1:13" ht="12.75">
      <c r="A10" s="25" t="s">
        <v>507</v>
      </c>
      <c r="B10" s="25" t="s">
        <v>508</v>
      </c>
      <c r="C10" s="25" t="s">
        <v>509</v>
      </c>
      <c r="D10" s="25" t="str">
        <f>"0,5373"</f>
        <v>0,5373</v>
      </c>
      <c r="E10" s="25" t="s">
        <v>77</v>
      </c>
      <c r="F10" s="25" t="s">
        <v>78</v>
      </c>
      <c r="G10" s="26" t="s">
        <v>131</v>
      </c>
      <c r="H10" s="27" t="s">
        <v>203</v>
      </c>
      <c r="I10" s="27" t="s">
        <v>203</v>
      </c>
      <c r="J10" s="27"/>
      <c r="K10" s="25" t="str">
        <f>"165,0"</f>
        <v>165,0</v>
      </c>
      <c r="L10" s="26" t="str">
        <f>"88,6545"</f>
        <v>88,6545</v>
      </c>
      <c r="M10" s="25" t="s">
        <v>205</v>
      </c>
    </row>
    <row r="11" spans="1:13" ht="12.75">
      <c r="A11" s="25" t="s">
        <v>510</v>
      </c>
      <c r="B11" s="25" t="s">
        <v>511</v>
      </c>
      <c r="C11" s="25" t="s">
        <v>512</v>
      </c>
      <c r="D11" s="25" t="str">
        <f>"0,5419"</f>
        <v>0,5419</v>
      </c>
      <c r="E11" s="25" t="s">
        <v>77</v>
      </c>
      <c r="F11" s="25" t="s">
        <v>78</v>
      </c>
      <c r="G11" s="27" t="s">
        <v>130</v>
      </c>
      <c r="H11" s="27" t="s">
        <v>130</v>
      </c>
      <c r="I11" s="27" t="s">
        <v>130</v>
      </c>
      <c r="J11" s="27"/>
      <c r="K11" s="25" t="str">
        <f>"0.00"</f>
        <v>0.00</v>
      </c>
      <c r="L11" s="26" t="str">
        <f>"0,0000"</f>
        <v>0,0000</v>
      </c>
      <c r="M11" s="25" t="s">
        <v>181</v>
      </c>
    </row>
    <row r="12" spans="1:13" ht="12.75">
      <c r="A12" s="22" t="s">
        <v>503</v>
      </c>
      <c r="B12" s="22" t="s">
        <v>513</v>
      </c>
      <c r="C12" s="22" t="s">
        <v>453</v>
      </c>
      <c r="D12" s="22" t="str">
        <f>"0,5377"</f>
        <v>0,5377</v>
      </c>
      <c r="E12" s="22" t="s">
        <v>150</v>
      </c>
      <c r="F12" s="22" t="s">
        <v>61</v>
      </c>
      <c r="G12" s="23" t="s">
        <v>212</v>
      </c>
      <c r="H12" s="23" t="s">
        <v>213</v>
      </c>
      <c r="I12" s="23" t="s">
        <v>505</v>
      </c>
      <c r="J12" s="24"/>
      <c r="K12" s="22" t="str">
        <f>"197,5"</f>
        <v>197,5</v>
      </c>
      <c r="L12" s="23" t="str">
        <f>"106,1957"</f>
        <v>106,1957</v>
      </c>
      <c r="M12" s="22" t="s">
        <v>205</v>
      </c>
    </row>
    <row r="14" spans="1:12" ht="15">
      <c r="A14" s="52" t="s">
        <v>454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ht="12.75">
      <c r="A15" s="19" t="s">
        <v>515</v>
      </c>
      <c r="B15" s="19" t="s">
        <v>516</v>
      </c>
      <c r="C15" s="19" t="s">
        <v>517</v>
      </c>
      <c r="D15" s="19" t="str">
        <f>"0,5243"</f>
        <v>0,5243</v>
      </c>
      <c r="E15" s="19" t="s">
        <v>77</v>
      </c>
      <c r="F15" s="19" t="s">
        <v>78</v>
      </c>
      <c r="G15" s="20" t="s">
        <v>221</v>
      </c>
      <c r="H15" s="21" t="s">
        <v>518</v>
      </c>
      <c r="I15" s="21" t="s">
        <v>518</v>
      </c>
      <c r="J15" s="21"/>
      <c r="K15" s="19" t="str">
        <f>"195,0"</f>
        <v>195,0</v>
      </c>
      <c r="L15" s="20" t="str">
        <f>"102,2385"</f>
        <v>102,2385</v>
      </c>
      <c r="M15" s="19" t="s">
        <v>205</v>
      </c>
    </row>
    <row r="16" spans="1:13" ht="12.75">
      <c r="A16" s="22" t="s">
        <v>519</v>
      </c>
      <c r="B16" s="22" t="s">
        <v>520</v>
      </c>
      <c r="C16" s="22" t="s">
        <v>458</v>
      </c>
      <c r="D16" s="22" t="str">
        <f>"0,5240"</f>
        <v>0,5240</v>
      </c>
      <c r="E16" s="22" t="s">
        <v>60</v>
      </c>
      <c r="F16" s="22" t="s">
        <v>29</v>
      </c>
      <c r="G16" s="24" t="s">
        <v>227</v>
      </c>
      <c r="H16" s="24" t="s">
        <v>220</v>
      </c>
      <c r="I16" s="24" t="s">
        <v>220</v>
      </c>
      <c r="J16" s="24"/>
      <c r="K16" s="22" t="str">
        <f>"0.00"</f>
        <v>0.00</v>
      </c>
      <c r="L16" s="23" t="str">
        <f>"0,0000"</f>
        <v>0,0000</v>
      </c>
      <c r="M16" s="22" t="s">
        <v>205</v>
      </c>
    </row>
    <row r="18" ht="15">
      <c r="E18" s="8" t="s">
        <v>13</v>
      </c>
    </row>
    <row r="19" ht="15">
      <c r="E19" s="8" t="s">
        <v>14</v>
      </c>
    </row>
    <row r="20" ht="15">
      <c r="E20" s="8" t="s">
        <v>15</v>
      </c>
    </row>
    <row r="21" ht="15">
      <c r="E21" s="8" t="s">
        <v>16</v>
      </c>
    </row>
    <row r="22" ht="15">
      <c r="E22" s="8" t="s">
        <v>16</v>
      </c>
    </row>
    <row r="23" ht="15">
      <c r="E23" s="8" t="s">
        <v>17</v>
      </c>
    </row>
    <row r="24" ht="15">
      <c r="E24" s="8"/>
    </row>
    <row r="26" spans="1:2" ht="18">
      <c r="A26" s="9" t="s">
        <v>18</v>
      </c>
      <c r="B26" s="9"/>
    </row>
    <row r="27" spans="1:2" ht="15">
      <c r="A27" s="13" t="s">
        <v>284</v>
      </c>
      <c r="B27" s="13"/>
    </row>
    <row r="28" spans="1:2" ht="14.25">
      <c r="A28" s="15"/>
      <c r="B28" s="16" t="s">
        <v>278</v>
      </c>
    </row>
    <row r="29" spans="1:5" ht="15">
      <c r="A29" s="17" t="s">
        <v>40</v>
      </c>
      <c r="B29" s="17" t="s">
        <v>41</v>
      </c>
      <c r="C29" s="17" t="s">
        <v>42</v>
      </c>
      <c r="D29" s="17" t="s">
        <v>43</v>
      </c>
      <c r="E29" s="17" t="s">
        <v>44</v>
      </c>
    </row>
    <row r="30" spans="1:5" ht="12.75">
      <c r="A30" s="14" t="s">
        <v>502</v>
      </c>
      <c r="B30" s="4" t="s">
        <v>278</v>
      </c>
      <c r="C30" s="4" t="s">
        <v>292</v>
      </c>
      <c r="D30" s="4" t="s">
        <v>505</v>
      </c>
      <c r="E30" s="18" t="s">
        <v>521</v>
      </c>
    </row>
    <row r="31" spans="1:5" ht="12.75">
      <c r="A31" s="14" t="s">
        <v>514</v>
      </c>
      <c r="B31" s="4" t="s">
        <v>278</v>
      </c>
      <c r="C31" s="4" t="s">
        <v>470</v>
      </c>
      <c r="D31" s="4" t="s">
        <v>221</v>
      </c>
      <c r="E31" s="18" t="s">
        <v>522</v>
      </c>
    </row>
    <row r="32" spans="1:5" ht="12.75">
      <c r="A32" s="14" t="s">
        <v>498</v>
      </c>
      <c r="B32" s="4" t="s">
        <v>278</v>
      </c>
      <c r="C32" s="4" t="s">
        <v>315</v>
      </c>
      <c r="D32" s="4" t="s">
        <v>130</v>
      </c>
      <c r="E32" s="18" t="s">
        <v>523</v>
      </c>
    </row>
    <row r="33" spans="1:5" ht="12.75">
      <c r="A33" s="14" t="s">
        <v>506</v>
      </c>
      <c r="B33" s="4" t="s">
        <v>278</v>
      </c>
      <c r="C33" s="4" t="s">
        <v>292</v>
      </c>
      <c r="D33" s="4" t="s">
        <v>131</v>
      </c>
      <c r="E33" s="18" t="s">
        <v>524</v>
      </c>
    </row>
    <row r="35" spans="1:2" ht="14.25">
      <c r="A35" s="15"/>
      <c r="B35" s="16" t="s">
        <v>329</v>
      </c>
    </row>
    <row r="36" spans="1:5" ht="15">
      <c r="A36" s="17" t="s">
        <v>40</v>
      </c>
      <c r="B36" s="17" t="s">
        <v>41</v>
      </c>
      <c r="C36" s="17" t="s">
        <v>42</v>
      </c>
      <c r="D36" s="17" t="s">
        <v>43</v>
      </c>
      <c r="E36" s="17" t="s">
        <v>44</v>
      </c>
    </row>
    <row r="37" spans="1:5" ht="12.75">
      <c r="A37" s="14" t="s">
        <v>502</v>
      </c>
      <c r="B37" s="4" t="s">
        <v>491</v>
      </c>
      <c r="C37" s="4" t="s">
        <v>292</v>
      </c>
      <c r="D37" s="4" t="s">
        <v>505</v>
      </c>
      <c r="E37" s="18" t="s">
        <v>521</v>
      </c>
    </row>
    <row r="42" spans="1:2" ht="18">
      <c r="A42" s="9" t="s">
        <v>49</v>
      </c>
      <c r="B42" s="9"/>
    </row>
    <row r="43" spans="1:3" ht="15">
      <c r="A43" s="17" t="s">
        <v>50</v>
      </c>
      <c r="B43" s="17" t="s">
        <v>51</v>
      </c>
      <c r="C43" s="17" t="s">
        <v>52</v>
      </c>
    </row>
    <row r="44" spans="1:3" ht="12.75">
      <c r="A44" s="4" t="s">
        <v>150</v>
      </c>
      <c r="B44" s="4" t="s">
        <v>343</v>
      </c>
      <c r="C44" s="4" t="s">
        <v>525</v>
      </c>
    </row>
    <row r="45" spans="1:3" ht="12.75">
      <c r="A45" s="4" t="s">
        <v>77</v>
      </c>
      <c r="B45" s="4" t="s">
        <v>526</v>
      </c>
      <c r="C45" s="4" t="s">
        <v>527</v>
      </c>
    </row>
  </sheetData>
  <sheetProtection/>
  <mergeCells count="14"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22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2.125" style="4" customWidth="1"/>
    <col min="4" max="4" width="9.25390625" style="4" bestFit="1" customWidth="1"/>
    <col min="5" max="5" width="20.25390625" style="4" customWidth="1"/>
    <col min="6" max="6" width="31.7539062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8.125" style="4" bestFit="1" customWidth="1"/>
    <col min="14" max="16384" width="9.125" style="3" customWidth="1"/>
  </cols>
  <sheetData>
    <row r="1" spans="1:13" s="2" customFormat="1" ht="28.5" customHeight="1">
      <c r="A1" s="51" t="s">
        <v>822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21</v>
      </c>
      <c r="H3" s="48"/>
      <c r="I3" s="48"/>
      <c r="J3" s="48"/>
      <c r="K3" s="48" t="s">
        <v>355</v>
      </c>
      <c r="L3" s="48" t="s">
        <v>6</v>
      </c>
      <c r="M3" s="36" t="s">
        <v>5</v>
      </c>
    </row>
    <row r="4" spans="1:13" s="1" customFormat="1" ht="39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356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0" t="s">
        <v>358</v>
      </c>
      <c r="B6" s="10" t="s">
        <v>359</v>
      </c>
      <c r="C6" s="10" t="s">
        <v>360</v>
      </c>
      <c r="D6" s="10" t="str">
        <f>"1,0379"</f>
        <v>1,0379</v>
      </c>
      <c r="E6" s="10" t="s">
        <v>91</v>
      </c>
      <c r="F6" s="10" t="s">
        <v>29</v>
      </c>
      <c r="G6" s="11" t="s">
        <v>103</v>
      </c>
      <c r="H6" s="11" t="s">
        <v>121</v>
      </c>
      <c r="I6" s="12" t="s">
        <v>80</v>
      </c>
      <c r="J6" s="12"/>
      <c r="K6" s="10" t="str">
        <f>"50,0"</f>
        <v>50,0</v>
      </c>
      <c r="L6" s="11" t="str">
        <f>"51,8950"</f>
        <v>51,8950</v>
      </c>
      <c r="M6" s="10" t="s">
        <v>134</v>
      </c>
    </row>
    <row r="8" spans="1:12" ht="15">
      <c r="A8" s="52" t="s">
        <v>72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10" t="s">
        <v>362</v>
      </c>
      <c r="B9" s="10" t="s">
        <v>363</v>
      </c>
      <c r="C9" s="10" t="s">
        <v>76</v>
      </c>
      <c r="D9" s="10" t="str">
        <f>"0,9693"</f>
        <v>0,9693</v>
      </c>
      <c r="E9" s="10" t="s">
        <v>60</v>
      </c>
      <c r="F9" s="10" t="s">
        <v>231</v>
      </c>
      <c r="G9" s="11" t="s">
        <v>139</v>
      </c>
      <c r="H9" s="11" t="s">
        <v>79</v>
      </c>
      <c r="I9" s="12" t="s">
        <v>80</v>
      </c>
      <c r="J9" s="12"/>
      <c r="K9" s="10" t="str">
        <f>"52,5"</f>
        <v>52,5</v>
      </c>
      <c r="L9" s="11" t="str">
        <f>"50,8909"</f>
        <v>50,8909</v>
      </c>
      <c r="M9" s="10" t="s">
        <v>205</v>
      </c>
    </row>
    <row r="11" spans="1:12" ht="15">
      <c r="A11" s="52" t="s">
        <v>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12.75">
      <c r="A12" s="10" t="s">
        <v>365</v>
      </c>
      <c r="B12" s="10" t="s">
        <v>366</v>
      </c>
      <c r="C12" s="10" t="s">
        <v>367</v>
      </c>
      <c r="D12" s="10" t="str">
        <f>"0,9341"</f>
        <v>0,9341</v>
      </c>
      <c r="E12" s="10" t="s">
        <v>60</v>
      </c>
      <c r="F12" s="10" t="s">
        <v>29</v>
      </c>
      <c r="G12" s="11" t="s">
        <v>70</v>
      </c>
      <c r="H12" s="12" t="s">
        <v>94</v>
      </c>
      <c r="I12" s="12" t="s">
        <v>94</v>
      </c>
      <c r="J12" s="12"/>
      <c r="K12" s="10" t="str">
        <f>"35,0"</f>
        <v>35,0</v>
      </c>
      <c r="L12" s="11" t="str">
        <f>"32,6918"</f>
        <v>32,6918</v>
      </c>
      <c r="M12" s="10" t="s">
        <v>368</v>
      </c>
    </row>
    <row r="14" spans="1:12" ht="15">
      <c r="A14" s="52" t="s">
        <v>106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ht="12.75">
      <c r="A15" s="19" t="s">
        <v>370</v>
      </c>
      <c r="B15" s="19" t="s">
        <v>371</v>
      </c>
      <c r="C15" s="19" t="s">
        <v>372</v>
      </c>
      <c r="D15" s="19" t="str">
        <f>"0,8647"</f>
        <v>0,8647</v>
      </c>
      <c r="E15" s="19" t="s">
        <v>60</v>
      </c>
      <c r="F15" s="19" t="s">
        <v>29</v>
      </c>
      <c r="G15" s="20" t="s">
        <v>103</v>
      </c>
      <c r="H15" s="20" t="s">
        <v>121</v>
      </c>
      <c r="I15" s="21" t="s">
        <v>79</v>
      </c>
      <c r="J15" s="21"/>
      <c r="K15" s="19" t="str">
        <f>"50,0"</f>
        <v>50,0</v>
      </c>
      <c r="L15" s="20" t="str">
        <f>"43,2325"</f>
        <v>43,2325</v>
      </c>
      <c r="M15" s="19" t="s">
        <v>373</v>
      </c>
    </row>
    <row r="16" spans="1:13" ht="12.75">
      <c r="A16" s="22" t="s">
        <v>374</v>
      </c>
      <c r="B16" s="22" t="s">
        <v>375</v>
      </c>
      <c r="C16" s="22" t="s">
        <v>376</v>
      </c>
      <c r="D16" s="22" t="str">
        <f>"0,8609"</f>
        <v>0,8609</v>
      </c>
      <c r="E16" s="22" t="s">
        <v>60</v>
      </c>
      <c r="F16" s="22" t="s">
        <v>29</v>
      </c>
      <c r="G16" s="24" t="s">
        <v>103</v>
      </c>
      <c r="H16" s="24" t="s">
        <v>103</v>
      </c>
      <c r="I16" s="24" t="s">
        <v>103</v>
      </c>
      <c r="J16" s="24"/>
      <c r="K16" s="22" t="str">
        <f>"0.00"</f>
        <v>0.00</v>
      </c>
      <c r="L16" s="23" t="str">
        <f>"0,0000"</f>
        <v>0,0000</v>
      </c>
      <c r="M16" s="22" t="s">
        <v>205</v>
      </c>
    </row>
    <row r="18" spans="1:12" ht="15">
      <c r="A18" s="52" t="s">
        <v>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3" ht="12.75">
      <c r="A19" s="10" t="s">
        <v>378</v>
      </c>
      <c r="B19" s="10" t="s">
        <v>379</v>
      </c>
      <c r="C19" s="10" t="s">
        <v>380</v>
      </c>
      <c r="D19" s="10" t="str">
        <f>"0,7562"</f>
        <v>0,7562</v>
      </c>
      <c r="E19" s="10" t="s">
        <v>60</v>
      </c>
      <c r="F19" s="10" t="s">
        <v>231</v>
      </c>
      <c r="G19" s="11" t="s">
        <v>63</v>
      </c>
      <c r="H19" s="12" t="s">
        <v>68</v>
      </c>
      <c r="I19" s="11" t="s">
        <v>68</v>
      </c>
      <c r="J19" s="12"/>
      <c r="K19" s="10" t="str">
        <f>"30,0"</f>
        <v>30,0</v>
      </c>
      <c r="L19" s="11" t="str">
        <f>"37,3160"</f>
        <v>37,3160</v>
      </c>
      <c r="M19" s="10" t="s">
        <v>232</v>
      </c>
    </row>
    <row r="21" spans="1:12" ht="15">
      <c r="A21" s="52" t="s">
        <v>72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3" ht="12.75">
      <c r="A22" s="19" t="s">
        <v>382</v>
      </c>
      <c r="B22" s="19" t="s">
        <v>383</v>
      </c>
      <c r="C22" s="19" t="s">
        <v>384</v>
      </c>
      <c r="D22" s="19" t="str">
        <f>"1,3133"</f>
        <v>1,3133</v>
      </c>
      <c r="E22" s="19" t="s">
        <v>60</v>
      </c>
      <c r="F22" s="19" t="s">
        <v>186</v>
      </c>
      <c r="G22" s="20" t="s">
        <v>62</v>
      </c>
      <c r="H22" s="20" t="s">
        <v>63</v>
      </c>
      <c r="I22" s="21" t="s">
        <v>64</v>
      </c>
      <c r="J22" s="21"/>
      <c r="K22" s="19" t="str">
        <f>"25,0"</f>
        <v>25,0</v>
      </c>
      <c r="L22" s="20" t="str">
        <f>"40,3840"</f>
        <v>40,3840</v>
      </c>
      <c r="M22" s="19" t="s">
        <v>188</v>
      </c>
    </row>
    <row r="23" spans="1:13" ht="12.75">
      <c r="A23" s="22" t="s">
        <v>386</v>
      </c>
      <c r="B23" s="22" t="s">
        <v>387</v>
      </c>
      <c r="C23" s="22" t="s">
        <v>149</v>
      </c>
      <c r="D23" s="22" t="str">
        <f>"1,1181"</f>
        <v>1,1181</v>
      </c>
      <c r="E23" s="22" t="s">
        <v>60</v>
      </c>
      <c r="F23" s="22" t="s">
        <v>256</v>
      </c>
      <c r="G23" s="23" t="s">
        <v>68</v>
      </c>
      <c r="H23" s="23" t="s">
        <v>69</v>
      </c>
      <c r="I23" s="24" t="s">
        <v>70</v>
      </c>
      <c r="J23" s="24"/>
      <c r="K23" s="22" t="str">
        <f>"32,5"</f>
        <v>32,5</v>
      </c>
      <c r="L23" s="23" t="str">
        <f>"44,6960"</f>
        <v>44,6960</v>
      </c>
      <c r="M23" s="22" t="s">
        <v>388</v>
      </c>
    </row>
    <row r="25" spans="1:12" ht="15">
      <c r="A25" s="52" t="s">
        <v>86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3" ht="12.75">
      <c r="A26" s="10" t="s">
        <v>390</v>
      </c>
      <c r="B26" s="10" t="s">
        <v>391</v>
      </c>
      <c r="C26" s="10" t="s">
        <v>392</v>
      </c>
      <c r="D26" s="10" t="str">
        <f>"0,8817"</f>
        <v>0,8817</v>
      </c>
      <c r="E26" s="10" t="s">
        <v>393</v>
      </c>
      <c r="F26" s="10" t="s">
        <v>29</v>
      </c>
      <c r="G26" s="11" t="s">
        <v>83</v>
      </c>
      <c r="H26" s="11" t="s">
        <v>84</v>
      </c>
      <c r="I26" s="12"/>
      <c r="J26" s="12"/>
      <c r="K26" s="10" t="str">
        <f>"115,0"</f>
        <v>115,0</v>
      </c>
      <c r="L26" s="11" t="str">
        <f>"101,3955"</f>
        <v>101,3955</v>
      </c>
      <c r="M26" s="10" t="s">
        <v>134</v>
      </c>
    </row>
    <row r="28" spans="1:12" ht="15">
      <c r="A28" s="52" t="s">
        <v>114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3" ht="12.75">
      <c r="A29" s="10" t="s">
        <v>395</v>
      </c>
      <c r="B29" s="10" t="s">
        <v>396</v>
      </c>
      <c r="C29" s="10" t="s">
        <v>397</v>
      </c>
      <c r="D29" s="10" t="str">
        <f>"0,7741"</f>
        <v>0,7741</v>
      </c>
      <c r="E29" s="10" t="s">
        <v>150</v>
      </c>
      <c r="F29" s="10" t="s">
        <v>61</v>
      </c>
      <c r="G29" s="11" t="s">
        <v>83</v>
      </c>
      <c r="H29" s="11" t="s">
        <v>398</v>
      </c>
      <c r="I29" s="12" t="s">
        <v>399</v>
      </c>
      <c r="J29" s="12"/>
      <c r="K29" s="10" t="str">
        <f>"117,5"</f>
        <v>117,5</v>
      </c>
      <c r="L29" s="11" t="str">
        <f>"90,9568"</f>
        <v>90,9568</v>
      </c>
      <c r="M29" s="10" t="s">
        <v>152</v>
      </c>
    </row>
    <row r="31" spans="1:12" ht="15">
      <c r="A31" s="52" t="s">
        <v>23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3" ht="12.75">
      <c r="A32" s="19" t="s">
        <v>401</v>
      </c>
      <c r="B32" s="19" t="s">
        <v>402</v>
      </c>
      <c r="C32" s="19" t="s">
        <v>403</v>
      </c>
      <c r="D32" s="19" t="str">
        <f>"0,7048"</f>
        <v>0,7048</v>
      </c>
      <c r="E32" s="19" t="s">
        <v>60</v>
      </c>
      <c r="F32" s="19" t="s">
        <v>61</v>
      </c>
      <c r="G32" s="20" t="s">
        <v>102</v>
      </c>
      <c r="H32" s="20" t="s">
        <v>30</v>
      </c>
      <c r="I32" s="20" t="s">
        <v>35</v>
      </c>
      <c r="J32" s="21"/>
      <c r="K32" s="19" t="str">
        <f>"85,0"</f>
        <v>85,0</v>
      </c>
      <c r="L32" s="20" t="str">
        <f>"70,6914"</f>
        <v>70,6914</v>
      </c>
      <c r="M32" s="19" t="s">
        <v>404</v>
      </c>
    </row>
    <row r="33" spans="1:13" ht="12.75">
      <c r="A33" s="25" t="s">
        <v>406</v>
      </c>
      <c r="B33" s="25" t="s">
        <v>407</v>
      </c>
      <c r="C33" s="25" t="s">
        <v>27</v>
      </c>
      <c r="D33" s="25" t="str">
        <f>"0,6955"</f>
        <v>0,6955</v>
      </c>
      <c r="E33" s="25" t="s">
        <v>150</v>
      </c>
      <c r="F33" s="25" t="s">
        <v>61</v>
      </c>
      <c r="G33" s="26" t="s">
        <v>84</v>
      </c>
      <c r="H33" s="26" t="s">
        <v>193</v>
      </c>
      <c r="I33" s="27" t="s">
        <v>194</v>
      </c>
      <c r="J33" s="27"/>
      <c r="K33" s="25" t="str">
        <f>"120,0"</f>
        <v>120,0</v>
      </c>
      <c r="L33" s="26" t="str">
        <f>"83,4633"</f>
        <v>83,4633</v>
      </c>
      <c r="M33" s="25" t="s">
        <v>205</v>
      </c>
    </row>
    <row r="34" spans="1:13" ht="12.75">
      <c r="A34" s="22" t="s">
        <v>409</v>
      </c>
      <c r="B34" s="22" t="s">
        <v>410</v>
      </c>
      <c r="C34" s="22" t="s">
        <v>411</v>
      </c>
      <c r="D34" s="22" t="str">
        <f>"0,6898"</f>
        <v>0,6898</v>
      </c>
      <c r="E34" s="22" t="s">
        <v>60</v>
      </c>
      <c r="F34" s="22" t="s">
        <v>29</v>
      </c>
      <c r="G34" s="23" t="s">
        <v>31</v>
      </c>
      <c r="H34" s="23" t="s">
        <v>104</v>
      </c>
      <c r="I34" s="24" t="s">
        <v>32</v>
      </c>
      <c r="J34" s="24"/>
      <c r="K34" s="22" t="str">
        <f>"97,5"</f>
        <v>97,5</v>
      </c>
      <c r="L34" s="23" t="str">
        <f>"67,2555"</f>
        <v>67,2555</v>
      </c>
      <c r="M34" s="22" t="s">
        <v>412</v>
      </c>
    </row>
    <row r="36" spans="1:12" ht="15">
      <c r="A36" s="52" t="s">
        <v>206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3" ht="12.75">
      <c r="A37" s="19" t="s">
        <v>414</v>
      </c>
      <c r="B37" s="19" t="s">
        <v>415</v>
      </c>
      <c r="C37" s="19" t="s">
        <v>416</v>
      </c>
      <c r="D37" s="19" t="str">
        <f>"0,6376"</f>
        <v>0,6376</v>
      </c>
      <c r="E37" s="19" t="s">
        <v>60</v>
      </c>
      <c r="F37" s="19" t="s">
        <v>231</v>
      </c>
      <c r="G37" s="20" t="s">
        <v>193</v>
      </c>
      <c r="H37" s="20" t="s">
        <v>187</v>
      </c>
      <c r="I37" s="21" t="s">
        <v>417</v>
      </c>
      <c r="J37" s="21"/>
      <c r="K37" s="19" t="str">
        <f>"130,0"</f>
        <v>130,0</v>
      </c>
      <c r="L37" s="20" t="str">
        <f>"82,8880"</f>
        <v>82,8880</v>
      </c>
      <c r="M37" s="19" t="s">
        <v>205</v>
      </c>
    </row>
    <row r="38" spans="1:13" ht="12.75">
      <c r="A38" s="25" t="s">
        <v>418</v>
      </c>
      <c r="B38" s="25" t="s">
        <v>218</v>
      </c>
      <c r="C38" s="25" t="s">
        <v>219</v>
      </c>
      <c r="D38" s="25" t="str">
        <f>"0,6219"</f>
        <v>0,6219</v>
      </c>
      <c r="E38" s="25" t="s">
        <v>77</v>
      </c>
      <c r="F38" s="25" t="s">
        <v>78</v>
      </c>
      <c r="G38" s="27" t="s">
        <v>84</v>
      </c>
      <c r="H38" s="26" t="s">
        <v>194</v>
      </c>
      <c r="I38" s="26" t="s">
        <v>187</v>
      </c>
      <c r="J38" s="27"/>
      <c r="K38" s="25" t="str">
        <f>"130,0"</f>
        <v>130,0</v>
      </c>
      <c r="L38" s="26" t="str">
        <f>"80,8470"</f>
        <v>80,8470</v>
      </c>
      <c r="M38" s="25" t="s">
        <v>181</v>
      </c>
    </row>
    <row r="39" spans="1:13" ht="12.75">
      <c r="A39" s="25" t="s">
        <v>420</v>
      </c>
      <c r="B39" s="25" t="s">
        <v>421</v>
      </c>
      <c r="C39" s="25" t="s">
        <v>422</v>
      </c>
      <c r="D39" s="25" t="str">
        <f>"0,6388"</f>
        <v>0,6388</v>
      </c>
      <c r="E39" s="25" t="s">
        <v>60</v>
      </c>
      <c r="F39" s="25" t="s">
        <v>231</v>
      </c>
      <c r="G39" s="27" t="s">
        <v>193</v>
      </c>
      <c r="H39" s="26" t="s">
        <v>194</v>
      </c>
      <c r="I39" s="27" t="s">
        <v>187</v>
      </c>
      <c r="J39" s="27"/>
      <c r="K39" s="25" t="str">
        <f>"125,0"</f>
        <v>125,0</v>
      </c>
      <c r="L39" s="26" t="str">
        <f>"79,8500"</f>
        <v>79,8500</v>
      </c>
      <c r="M39" s="25" t="s">
        <v>205</v>
      </c>
    </row>
    <row r="40" spans="1:13" ht="12.75">
      <c r="A40" s="25" t="s">
        <v>424</v>
      </c>
      <c r="B40" s="25" t="s">
        <v>425</v>
      </c>
      <c r="C40" s="25" t="s">
        <v>210</v>
      </c>
      <c r="D40" s="25" t="str">
        <f>"0,6193"</f>
        <v>0,6193</v>
      </c>
      <c r="E40" s="25" t="s">
        <v>60</v>
      </c>
      <c r="F40" s="25" t="s">
        <v>29</v>
      </c>
      <c r="G40" s="27" t="s">
        <v>398</v>
      </c>
      <c r="H40" s="26" t="s">
        <v>399</v>
      </c>
      <c r="I40" s="27" t="s">
        <v>187</v>
      </c>
      <c r="J40" s="27"/>
      <c r="K40" s="25" t="str">
        <f>"122,5"</f>
        <v>122,5</v>
      </c>
      <c r="L40" s="26" t="str">
        <f>"75,8643"</f>
        <v>75,8643</v>
      </c>
      <c r="M40" s="25" t="s">
        <v>205</v>
      </c>
    </row>
    <row r="41" spans="1:13" ht="12.75">
      <c r="A41" s="22" t="s">
        <v>427</v>
      </c>
      <c r="B41" s="22" t="s">
        <v>428</v>
      </c>
      <c r="C41" s="22" t="s">
        <v>416</v>
      </c>
      <c r="D41" s="22" t="str">
        <f>"0,6376"</f>
        <v>0,6376</v>
      </c>
      <c r="E41" s="22" t="s">
        <v>150</v>
      </c>
      <c r="F41" s="22" t="s">
        <v>61</v>
      </c>
      <c r="G41" s="23" t="s">
        <v>32</v>
      </c>
      <c r="H41" s="23" t="s">
        <v>83</v>
      </c>
      <c r="I41" s="23" t="s">
        <v>84</v>
      </c>
      <c r="J41" s="24"/>
      <c r="K41" s="22" t="str">
        <f>"115,0"</f>
        <v>115,0</v>
      </c>
      <c r="L41" s="23" t="str">
        <f>"80,0698"</f>
        <v>80,0698</v>
      </c>
      <c r="M41" s="22" t="s">
        <v>429</v>
      </c>
    </row>
    <row r="43" spans="1:12" ht="15">
      <c r="A43" s="52" t="s">
        <v>233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3" ht="12.75">
      <c r="A44" s="10" t="s">
        <v>430</v>
      </c>
      <c r="B44" s="10" t="s">
        <v>247</v>
      </c>
      <c r="C44" s="10" t="s">
        <v>248</v>
      </c>
      <c r="D44" s="10" t="str">
        <f>"0,5865"</f>
        <v>0,5865</v>
      </c>
      <c r="E44" s="10" t="s">
        <v>77</v>
      </c>
      <c r="F44" s="10" t="s">
        <v>78</v>
      </c>
      <c r="G44" s="12" t="s">
        <v>249</v>
      </c>
      <c r="H44" s="11" t="s">
        <v>129</v>
      </c>
      <c r="I44" s="11" t="s">
        <v>133</v>
      </c>
      <c r="J44" s="12"/>
      <c r="K44" s="10" t="str">
        <f>"157,5"</f>
        <v>157,5</v>
      </c>
      <c r="L44" s="11" t="str">
        <f>"92,3737"</f>
        <v>92,3737</v>
      </c>
      <c r="M44" s="10" t="s">
        <v>181</v>
      </c>
    </row>
    <row r="46" spans="1:12" ht="15">
      <c r="A46" s="52" t="s">
        <v>251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3" ht="12.75">
      <c r="A47" s="19" t="s">
        <v>432</v>
      </c>
      <c r="B47" s="19" t="s">
        <v>433</v>
      </c>
      <c r="C47" s="19" t="s">
        <v>434</v>
      </c>
      <c r="D47" s="19" t="str">
        <f>"0,5540"</f>
        <v>0,5540</v>
      </c>
      <c r="E47" s="19" t="s">
        <v>77</v>
      </c>
      <c r="F47" s="19" t="s">
        <v>78</v>
      </c>
      <c r="G47" s="20" t="s">
        <v>417</v>
      </c>
      <c r="H47" s="20" t="s">
        <v>435</v>
      </c>
      <c r="I47" s="21" t="s">
        <v>249</v>
      </c>
      <c r="J47" s="21"/>
      <c r="K47" s="19" t="str">
        <f>"137,5"</f>
        <v>137,5</v>
      </c>
      <c r="L47" s="20" t="str">
        <f>"76,9368"</f>
        <v>76,9368</v>
      </c>
      <c r="M47" s="19" t="s">
        <v>181</v>
      </c>
    </row>
    <row r="48" spans="1:13" ht="12.75">
      <c r="A48" s="25" t="s">
        <v>437</v>
      </c>
      <c r="B48" s="25" t="s">
        <v>438</v>
      </c>
      <c r="C48" s="25" t="s">
        <v>439</v>
      </c>
      <c r="D48" s="25" t="str">
        <f>"0,5565"</f>
        <v>0,5565</v>
      </c>
      <c r="E48" s="25" t="s">
        <v>91</v>
      </c>
      <c r="F48" s="25" t="s">
        <v>29</v>
      </c>
      <c r="G48" s="26" t="s">
        <v>440</v>
      </c>
      <c r="H48" s="26" t="s">
        <v>132</v>
      </c>
      <c r="I48" s="26" t="s">
        <v>179</v>
      </c>
      <c r="J48" s="27"/>
      <c r="K48" s="25" t="str">
        <f>"145,0"</f>
        <v>145,0</v>
      </c>
      <c r="L48" s="26" t="str">
        <f>"80,6925"</f>
        <v>80,6925</v>
      </c>
      <c r="M48" s="25" t="s">
        <v>441</v>
      </c>
    </row>
    <row r="49" spans="1:13" ht="12.75">
      <c r="A49" s="22" t="s">
        <v>443</v>
      </c>
      <c r="B49" s="22" t="s">
        <v>444</v>
      </c>
      <c r="C49" s="22" t="s">
        <v>445</v>
      </c>
      <c r="D49" s="22" t="str">
        <f>"0,5727"</f>
        <v>0,5727</v>
      </c>
      <c r="E49" s="22" t="s">
        <v>60</v>
      </c>
      <c r="F49" s="22" t="s">
        <v>186</v>
      </c>
      <c r="G49" s="23" t="s">
        <v>187</v>
      </c>
      <c r="H49" s="23" t="s">
        <v>132</v>
      </c>
      <c r="I49" s="24" t="s">
        <v>129</v>
      </c>
      <c r="J49" s="24"/>
      <c r="K49" s="22" t="str">
        <f>"140,0"</f>
        <v>140,0</v>
      </c>
      <c r="L49" s="23" t="str">
        <f>"80,1780"</f>
        <v>80,1780</v>
      </c>
      <c r="M49" s="22" t="s">
        <v>188</v>
      </c>
    </row>
    <row r="51" spans="1:12" ht="15">
      <c r="A51" s="52" t="s">
        <v>257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3" ht="12.75">
      <c r="A52" s="19" t="s">
        <v>447</v>
      </c>
      <c r="B52" s="19" t="s">
        <v>448</v>
      </c>
      <c r="C52" s="19" t="s">
        <v>449</v>
      </c>
      <c r="D52" s="19" t="str">
        <f>"0,5386"</f>
        <v>0,5386</v>
      </c>
      <c r="E52" s="19" t="s">
        <v>101</v>
      </c>
      <c r="F52" s="19" t="s">
        <v>186</v>
      </c>
      <c r="G52" s="20" t="s">
        <v>132</v>
      </c>
      <c r="H52" s="20" t="s">
        <v>179</v>
      </c>
      <c r="I52" s="20" t="s">
        <v>129</v>
      </c>
      <c r="J52" s="21"/>
      <c r="K52" s="19" t="str">
        <f>"150,0"</f>
        <v>150,0</v>
      </c>
      <c r="L52" s="20" t="str">
        <f>"80,7900"</f>
        <v>80,7900</v>
      </c>
      <c r="M52" s="19" t="s">
        <v>188</v>
      </c>
    </row>
    <row r="53" spans="1:13" ht="12.75">
      <c r="A53" s="22" t="s">
        <v>451</v>
      </c>
      <c r="B53" s="22" t="s">
        <v>452</v>
      </c>
      <c r="C53" s="22" t="s">
        <v>453</v>
      </c>
      <c r="D53" s="22" t="str">
        <f>"0,5377"</f>
        <v>0,5377</v>
      </c>
      <c r="E53" s="22" t="s">
        <v>60</v>
      </c>
      <c r="F53" s="22" t="s">
        <v>29</v>
      </c>
      <c r="G53" s="23" t="s">
        <v>187</v>
      </c>
      <c r="H53" s="23" t="s">
        <v>132</v>
      </c>
      <c r="I53" s="24" t="s">
        <v>310</v>
      </c>
      <c r="J53" s="24"/>
      <c r="K53" s="22" t="str">
        <f>"140,0"</f>
        <v>140,0</v>
      </c>
      <c r="L53" s="23" t="str">
        <f>"76,6330"</f>
        <v>76,6330</v>
      </c>
      <c r="M53" s="22" t="s">
        <v>205</v>
      </c>
    </row>
    <row r="55" spans="1:12" ht="15">
      <c r="A55" s="52" t="s">
        <v>454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3" ht="12.75">
      <c r="A56" s="19" t="s">
        <v>456</v>
      </c>
      <c r="B56" s="19" t="s">
        <v>457</v>
      </c>
      <c r="C56" s="19" t="s">
        <v>458</v>
      </c>
      <c r="D56" s="19" t="str">
        <f>"0,5240"</f>
        <v>0,5240</v>
      </c>
      <c r="E56" s="19" t="s">
        <v>101</v>
      </c>
      <c r="F56" s="19" t="s">
        <v>186</v>
      </c>
      <c r="G56" s="20" t="s">
        <v>187</v>
      </c>
      <c r="H56" s="20" t="s">
        <v>440</v>
      </c>
      <c r="I56" s="21" t="s">
        <v>132</v>
      </c>
      <c r="J56" s="21"/>
      <c r="K56" s="19" t="str">
        <f>"135,0"</f>
        <v>135,0</v>
      </c>
      <c r="L56" s="20" t="str">
        <f>"74,9844"</f>
        <v>74,9844</v>
      </c>
      <c r="M56" s="19" t="s">
        <v>188</v>
      </c>
    </row>
    <row r="57" spans="1:13" ht="12.75">
      <c r="A57" s="22" t="s">
        <v>460</v>
      </c>
      <c r="B57" s="22" t="s">
        <v>461</v>
      </c>
      <c r="C57" s="22" t="s">
        <v>462</v>
      </c>
      <c r="D57" s="22" t="str">
        <f>"0,5226"</f>
        <v>0,5226</v>
      </c>
      <c r="E57" s="22" t="s">
        <v>77</v>
      </c>
      <c r="F57" s="22" t="s">
        <v>78</v>
      </c>
      <c r="G57" s="23" t="s">
        <v>131</v>
      </c>
      <c r="H57" s="23" t="s">
        <v>227</v>
      </c>
      <c r="I57" s="24" t="s">
        <v>203</v>
      </c>
      <c r="J57" s="24"/>
      <c r="K57" s="22" t="str">
        <f>"170,0"</f>
        <v>170,0</v>
      </c>
      <c r="L57" s="23" t="str">
        <f>"88,8420"</f>
        <v>88,8420</v>
      </c>
      <c r="M57" s="22" t="s">
        <v>181</v>
      </c>
    </row>
    <row r="59" ht="15">
      <c r="E59" s="8" t="s">
        <v>13</v>
      </c>
    </row>
    <row r="60" ht="15">
      <c r="E60" s="8" t="s">
        <v>14</v>
      </c>
    </row>
    <row r="61" ht="15">
      <c r="E61" s="8" t="s">
        <v>15</v>
      </c>
    </row>
    <row r="62" ht="15">
      <c r="E62" s="8" t="s">
        <v>16</v>
      </c>
    </row>
    <row r="63" ht="15">
      <c r="E63" s="8" t="s">
        <v>16</v>
      </c>
    </row>
    <row r="64" ht="15">
      <c r="E64" s="8" t="s">
        <v>17</v>
      </c>
    </row>
    <row r="65" ht="15">
      <c r="E65" s="8"/>
    </row>
    <row r="67" spans="1:2" ht="18">
      <c r="A67" s="9" t="s">
        <v>18</v>
      </c>
      <c r="B67" s="9"/>
    </row>
    <row r="68" spans="1:2" ht="15">
      <c r="A68" s="13" t="s">
        <v>38</v>
      </c>
      <c r="B68" s="13"/>
    </row>
    <row r="69" spans="1:2" ht="14.25">
      <c r="A69" s="15"/>
      <c r="B69" s="16" t="s">
        <v>278</v>
      </c>
    </row>
    <row r="70" spans="1:5" ht="15">
      <c r="A70" s="17" t="s">
        <v>40</v>
      </c>
      <c r="B70" s="17" t="s">
        <v>41</v>
      </c>
      <c r="C70" s="17" t="s">
        <v>42</v>
      </c>
      <c r="D70" s="17" t="s">
        <v>43</v>
      </c>
      <c r="E70" s="17" t="s">
        <v>44</v>
      </c>
    </row>
    <row r="71" spans="1:5" ht="12.75">
      <c r="A71" s="14" t="s">
        <v>357</v>
      </c>
      <c r="B71" s="4" t="s">
        <v>278</v>
      </c>
      <c r="C71" s="4" t="s">
        <v>463</v>
      </c>
      <c r="D71" s="4" t="s">
        <v>121</v>
      </c>
      <c r="E71" s="18" t="s">
        <v>464</v>
      </c>
    </row>
    <row r="72" spans="1:5" ht="12.75">
      <c r="A72" s="14" t="s">
        <v>361</v>
      </c>
      <c r="B72" s="4" t="s">
        <v>278</v>
      </c>
      <c r="C72" s="4" t="s">
        <v>279</v>
      </c>
      <c r="D72" s="4" t="s">
        <v>79</v>
      </c>
      <c r="E72" s="18" t="s">
        <v>465</v>
      </c>
    </row>
    <row r="73" spans="1:5" ht="12.75">
      <c r="A73" s="14" t="s">
        <v>369</v>
      </c>
      <c r="B73" s="4" t="s">
        <v>278</v>
      </c>
      <c r="C73" s="4" t="s">
        <v>276</v>
      </c>
      <c r="D73" s="4" t="s">
        <v>121</v>
      </c>
      <c r="E73" s="18" t="s">
        <v>466</v>
      </c>
    </row>
    <row r="74" spans="1:5" ht="12.75">
      <c r="A74" s="14" t="s">
        <v>364</v>
      </c>
      <c r="B74" s="4" t="s">
        <v>278</v>
      </c>
      <c r="C74" s="4" t="s">
        <v>274</v>
      </c>
      <c r="D74" s="4" t="s">
        <v>70</v>
      </c>
      <c r="E74" s="18" t="s">
        <v>467</v>
      </c>
    </row>
    <row r="76" spans="1:2" ht="14.25">
      <c r="A76" s="15"/>
      <c r="B76" s="16" t="s">
        <v>329</v>
      </c>
    </row>
    <row r="77" spans="1:5" ht="15">
      <c r="A77" s="17" t="s">
        <v>40</v>
      </c>
      <c r="B77" s="17" t="s">
        <v>41</v>
      </c>
      <c r="C77" s="17" t="s">
        <v>42</v>
      </c>
      <c r="D77" s="17" t="s">
        <v>43</v>
      </c>
      <c r="E77" s="17" t="s">
        <v>44</v>
      </c>
    </row>
    <row r="78" spans="1:5" ht="12.75">
      <c r="A78" s="14" t="s">
        <v>377</v>
      </c>
      <c r="B78" s="4" t="s">
        <v>468</v>
      </c>
      <c r="C78" s="4" t="s">
        <v>46</v>
      </c>
      <c r="D78" s="4" t="s">
        <v>68</v>
      </c>
      <c r="E78" s="18" t="s">
        <v>469</v>
      </c>
    </row>
    <row r="81" spans="1:2" ht="15">
      <c r="A81" s="13" t="s">
        <v>284</v>
      </c>
      <c r="B81" s="13"/>
    </row>
    <row r="82" spans="1:2" ht="14.25">
      <c r="A82" s="15"/>
      <c r="B82" s="16" t="s">
        <v>285</v>
      </c>
    </row>
    <row r="83" spans="1:5" ht="15">
      <c r="A83" s="17" t="s">
        <v>40</v>
      </c>
      <c r="B83" s="17" t="s">
        <v>41</v>
      </c>
      <c r="C83" s="17" t="s">
        <v>42</v>
      </c>
      <c r="D83" s="17" t="s">
        <v>43</v>
      </c>
      <c r="E83" s="17" t="s">
        <v>44</v>
      </c>
    </row>
    <row r="84" spans="1:5" ht="12.75">
      <c r="A84" s="14" t="s">
        <v>455</v>
      </c>
      <c r="B84" s="4" t="s">
        <v>45</v>
      </c>
      <c r="C84" s="4" t="s">
        <v>470</v>
      </c>
      <c r="D84" s="4" t="s">
        <v>440</v>
      </c>
      <c r="E84" s="18" t="s">
        <v>471</v>
      </c>
    </row>
    <row r="85" spans="1:5" ht="12.75">
      <c r="A85" s="14" t="s">
        <v>400</v>
      </c>
      <c r="B85" s="4" t="s">
        <v>263</v>
      </c>
      <c r="C85" s="4" t="s">
        <v>46</v>
      </c>
      <c r="D85" s="4" t="s">
        <v>35</v>
      </c>
      <c r="E85" s="18" t="s">
        <v>472</v>
      </c>
    </row>
    <row r="86" spans="1:5" ht="12.75">
      <c r="A86" s="14" t="s">
        <v>385</v>
      </c>
      <c r="B86" s="4" t="s">
        <v>263</v>
      </c>
      <c r="C86" s="4" t="s">
        <v>279</v>
      </c>
      <c r="D86" s="4" t="s">
        <v>69</v>
      </c>
      <c r="E86" s="18" t="s">
        <v>473</v>
      </c>
    </row>
    <row r="87" spans="1:5" ht="12.75">
      <c r="A87" s="14" t="s">
        <v>381</v>
      </c>
      <c r="B87" s="4" t="s">
        <v>266</v>
      </c>
      <c r="C87" s="4" t="s">
        <v>279</v>
      </c>
      <c r="D87" s="4" t="s">
        <v>63</v>
      </c>
      <c r="E87" s="18" t="s">
        <v>474</v>
      </c>
    </row>
    <row r="89" spans="1:2" ht="14.25">
      <c r="A89" s="15"/>
      <c r="B89" s="16" t="s">
        <v>312</v>
      </c>
    </row>
    <row r="90" spans="1:5" ht="15">
      <c r="A90" s="17" t="s">
        <v>40</v>
      </c>
      <c r="B90" s="17" t="s">
        <v>41</v>
      </c>
      <c r="C90" s="17" t="s">
        <v>42</v>
      </c>
      <c r="D90" s="17" t="s">
        <v>43</v>
      </c>
      <c r="E90" s="17" t="s">
        <v>44</v>
      </c>
    </row>
    <row r="91" spans="1:5" ht="12.75">
      <c r="A91" s="14" t="s">
        <v>431</v>
      </c>
      <c r="B91" s="4" t="s">
        <v>270</v>
      </c>
      <c r="C91" s="4" t="s">
        <v>320</v>
      </c>
      <c r="D91" s="4" t="s">
        <v>435</v>
      </c>
      <c r="E91" s="18" t="s">
        <v>475</v>
      </c>
    </row>
    <row r="93" spans="1:2" ht="14.25">
      <c r="A93" s="15"/>
      <c r="B93" s="16" t="s">
        <v>278</v>
      </c>
    </row>
    <row r="94" spans="1:5" ht="15">
      <c r="A94" s="17" t="s">
        <v>40</v>
      </c>
      <c r="B94" s="17" t="s">
        <v>41</v>
      </c>
      <c r="C94" s="17" t="s">
        <v>42</v>
      </c>
      <c r="D94" s="17" t="s">
        <v>43</v>
      </c>
      <c r="E94" s="17" t="s">
        <v>44</v>
      </c>
    </row>
    <row r="95" spans="1:5" ht="12.75">
      <c r="A95" s="14" t="s">
        <v>389</v>
      </c>
      <c r="B95" s="4" t="s">
        <v>278</v>
      </c>
      <c r="C95" s="4" t="s">
        <v>274</v>
      </c>
      <c r="D95" s="4" t="s">
        <v>84</v>
      </c>
      <c r="E95" s="18" t="s">
        <v>476</v>
      </c>
    </row>
    <row r="96" spans="1:5" ht="12.75">
      <c r="A96" s="14" t="s">
        <v>245</v>
      </c>
      <c r="B96" s="4" t="s">
        <v>278</v>
      </c>
      <c r="C96" s="4" t="s">
        <v>315</v>
      </c>
      <c r="D96" s="4" t="s">
        <v>133</v>
      </c>
      <c r="E96" s="18" t="s">
        <v>477</v>
      </c>
    </row>
    <row r="97" spans="1:5" ht="12.75">
      <c r="A97" s="14" t="s">
        <v>394</v>
      </c>
      <c r="B97" s="4" t="s">
        <v>278</v>
      </c>
      <c r="C97" s="4" t="s">
        <v>264</v>
      </c>
      <c r="D97" s="4" t="s">
        <v>398</v>
      </c>
      <c r="E97" s="18" t="s">
        <v>478</v>
      </c>
    </row>
    <row r="98" spans="1:5" ht="12.75">
      <c r="A98" s="14" t="s">
        <v>459</v>
      </c>
      <c r="B98" s="4" t="s">
        <v>278</v>
      </c>
      <c r="C98" s="4" t="s">
        <v>470</v>
      </c>
      <c r="D98" s="4" t="s">
        <v>227</v>
      </c>
      <c r="E98" s="18" t="s">
        <v>479</v>
      </c>
    </row>
    <row r="99" spans="1:5" ht="12.75">
      <c r="A99" s="14" t="s">
        <v>405</v>
      </c>
      <c r="B99" s="4" t="s">
        <v>278</v>
      </c>
      <c r="C99" s="4" t="s">
        <v>46</v>
      </c>
      <c r="D99" s="4" t="s">
        <v>193</v>
      </c>
      <c r="E99" s="18" t="s">
        <v>480</v>
      </c>
    </row>
    <row r="100" spans="1:5" ht="12.75">
      <c r="A100" s="14" t="s">
        <v>413</v>
      </c>
      <c r="B100" s="4" t="s">
        <v>278</v>
      </c>
      <c r="C100" s="4" t="s">
        <v>287</v>
      </c>
      <c r="D100" s="4" t="s">
        <v>187</v>
      </c>
      <c r="E100" s="18" t="s">
        <v>481</v>
      </c>
    </row>
    <row r="101" spans="1:5" ht="12.75">
      <c r="A101" s="14" t="s">
        <v>216</v>
      </c>
      <c r="B101" s="4" t="s">
        <v>278</v>
      </c>
      <c r="C101" s="4" t="s">
        <v>287</v>
      </c>
      <c r="D101" s="4" t="s">
        <v>187</v>
      </c>
      <c r="E101" s="18" t="s">
        <v>482</v>
      </c>
    </row>
    <row r="102" spans="1:5" ht="12.75">
      <c r="A102" s="14" t="s">
        <v>446</v>
      </c>
      <c r="B102" s="4" t="s">
        <v>278</v>
      </c>
      <c r="C102" s="4" t="s">
        <v>292</v>
      </c>
      <c r="D102" s="4" t="s">
        <v>129</v>
      </c>
      <c r="E102" s="18" t="s">
        <v>483</v>
      </c>
    </row>
    <row r="103" spans="1:5" ht="12.75">
      <c r="A103" s="14" t="s">
        <v>436</v>
      </c>
      <c r="B103" s="4" t="s">
        <v>278</v>
      </c>
      <c r="C103" s="4" t="s">
        <v>320</v>
      </c>
      <c r="D103" s="4" t="s">
        <v>179</v>
      </c>
      <c r="E103" s="18" t="s">
        <v>484</v>
      </c>
    </row>
    <row r="104" spans="1:5" ht="12.75">
      <c r="A104" s="14" t="s">
        <v>442</v>
      </c>
      <c r="B104" s="4" t="s">
        <v>278</v>
      </c>
      <c r="C104" s="4" t="s">
        <v>320</v>
      </c>
      <c r="D104" s="4" t="s">
        <v>132</v>
      </c>
      <c r="E104" s="18" t="s">
        <v>485</v>
      </c>
    </row>
    <row r="105" spans="1:5" ht="12.75">
      <c r="A105" s="14" t="s">
        <v>419</v>
      </c>
      <c r="B105" s="4" t="s">
        <v>278</v>
      </c>
      <c r="C105" s="4" t="s">
        <v>287</v>
      </c>
      <c r="D105" s="4" t="s">
        <v>194</v>
      </c>
      <c r="E105" s="18" t="s">
        <v>486</v>
      </c>
    </row>
    <row r="106" spans="1:5" ht="12.75">
      <c r="A106" s="14" t="s">
        <v>423</v>
      </c>
      <c r="B106" s="4" t="s">
        <v>278</v>
      </c>
      <c r="C106" s="4" t="s">
        <v>287</v>
      </c>
      <c r="D106" s="4" t="s">
        <v>399</v>
      </c>
      <c r="E106" s="18" t="s">
        <v>487</v>
      </c>
    </row>
    <row r="107" spans="1:5" ht="12.75">
      <c r="A107" s="14" t="s">
        <v>408</v>
      </c>
      <c r="B107" s="4" t="s">
        <v>278</v>
      </c>
      <c r="C107" s="4" t="s">
        <v>46</v>
      </c>
      <c r="D107" s="4" t="s">
        <v>104</v>
      </c>
      <c r="E107" s="18" t="s">
        <v>488</v>
      </c>
    </row>
    <row r="109" spans="1:2" ht="14.25">
      <c r="A109" s="15"/>
      <c r="B109" s="16" t="s">
        <v>329</v>
      </c>
    </row>
    <row r="110" spans="1:5" ht="15">
      <c r="A110" s="17" t="s">
        <v>40</v>
      </c>
      <c r="B110" s="17" t="s">
        <v>41</v>
      </c>
      <c r="C110" s="17" t="s">
        <v>42</v>
      </c>
      <c r="D110" s="17" t="s">
        <v>43</v>
      </c>
      <c r="E110" s="17" t="s">
        <v>44</v>
      </c>
    </row>
    <row r="111" spans="1:5" ht="12.75">
      <c r="A111" s="14" t="s">
        <v>426</v>
      </c>
      <c r="B111" s="4" t="s">
        <v>489</v>
      </c>
      <c r="C111" s="4" t="s">
        <v>287</v>
      </c>
      <c r="D111" s="4" t="s">
        <v>84</v>
      </c>
      <c r="E111" s="18" t="s">
        <v>490</v>
      </c>
    </row>
    <row r="112" spans="1:5" ht="12.75">
      <c r="A112" s="14" t="s">
        <v>450</v>
      </c>
      <c r="B112" s="4" t="s">
        <v>491</v>
      </c>
      <c r="C112" s="4" t="s">
        <v>292</v>
      </c>
      <c r="D112" s="4" t="s">
        <v>132</v>
      </c>
      <c r="E112" s="18" t="s">
        <v>492</v>
      </c>
    </row>
    <row r="117" spans="1:2" ht="18">
      <c r="A117" s="9" t="s">
        <v>49</v>
      </c>
      <c r="B117" s="9"/>
    </row>
    <row r="118" spans="1:3" ht="15">
      <c r="A118" s="17" t="s">
        <v>50</v>
      </c>
      <c r="B118" s="17" t="s">
        <v>51</v>
      </c>
      <c r="C118" s="17" t="s">
        <v>52</v>
      </c>
    </row>
    <row r="119" spans="1:3" ht="12.75">
      <c r="A119" s="4" t="s">
        <v>77</v>
      </c>
      <c r="B119" s="4" t="s">
        <v>333</v>
      </c>
      <c r="C119" s="4" t="s">
        <v>493</v>
      </c>
    </row>
    <row r="120" spans="1:3" ht="12.75">
      <c r="A120" s="4" t="s">
        <v>150</v>
      </c>
      <c r="B120" s="4" t="s">
        <v>337</v>
      </c>
      <c r="C120" s="4" t="s">
        <v>494</v>
      </c>
    </row>
    <row r="121" spans="1:3" ht="12.75">
      <c r="A121" s="4" t="s">
        <v>101</v>
      </c>
      <c r="B121" s="4" t="s">
        <v>343</v>
      </c>
      <c r="C121" s="4" t="s">
        <v>495</v>
      </c>
    </row>
    <row r="122" spans="1:3" ht="12.75">
      <c r="A122" s="4" t="s">
        <v>91</v>
      </c>
      <c r="B122" s="4" t="s">
        <v>343</v>
      </c>
      <c r="C122" s="4" t="s">
        <v>496</v>
      </c>
    </row>
    <row r="123" spans="1:3" ht="12.75">
      <c r="A123" s="4" t="s">
        <v>393</v>
      </c>
      <c r="B123" s="4" t="s">
        <v>53</v>
      </c>
      <c r="C123" s="4" t="s">
        <v>497</v>
      </c>
    </row>
  </sheetData>
  <sheetProtection/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A31:L31"/>
    <mergeCell ref="K3:K4"/>
    <mergeCell ref="L3:L4"/>
    <mergeCell ref="M3:M4"/>
    <mergeCell ref="A5:L5"/>
    <mergeCell ref="A8:L8"/>
    <mergeCell ref="A11:L11"/>
    <mergeCell ref="A14:L14"/>
    <mergeCell ref="A18:L18"/>
    <mergeCell ref="A21:L21"/>
    <mergeCell ref="A25:L25"/>
    <mergeCell ref="A28:L28"/>
    <mergeCell ref="A36:L36"/>
    <mergeCell ref="A43:L43"/>
    <mergeCell ref="A46:L46"/>
    <mergeCell ref="A51:L51"/>
    <mergeCell ref="A55:L5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25.75390625" style="4" customWidth="1"/>
    <col min="2" max="2" width="26.25390625" style="4" bestFit="1" customWidth="1"/>
    <col min="3" max="3" width="11.75390625" style="4" customWidth="1"/>
    <col min="4" max="4" width="9.25390625" style="4" bestFit="1" customWidth="1"/>
    <col min="5" max="5" width="22.75390625" style="4" bestFit="1" customWidth="1"/>
    <col min="6" max="6" width="22.1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0.375" style="4" bestFit="1" customWidth="1"/>
    <col min="22" max="16384" width="9.125" style="3" customWidth="1"/>
  </cols>
  <sheetData>
    <row r="1" spans="1:21" s="2" customFormat="1" ht="28.5" customHeight="1">
      <c r="A1" s="51" t="s">
        <v>823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20</v>
      </c>
      <c r="H3" s="48"/>
      <c r="I3" s="48"/>
      <c r="J3" s="48"/>
      <c r="K3" s="48" t="s">
        <v>21</v>
      </c>
      <c r="L3" s="48"/>
      <c r="M3" s="48"/>
      <c r="N3" s="48"/>
      <c r="O3" s="48" t="s">
        <v>22</v>
      </c>
      <c r="P3" s="48"/>
      <c r="Q3" s="48"/>
      <c r="R3" s="48"/>
      <c r="S3" s="48" t="s">
        <v>4</v>
      </c>
      <c r="T3" s="48" t="s">
        <v>6</v>
      </c>
      <c r="U3" s="36" t="s">
        <v>5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7"/>
      <c r="T4" s="47"/>
      <c r="U4" s="37"/>
    </row>
    <row r="5" spans="1:20" ht="15">
      <c r="A5" s="49" t="s">
        <v>257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10" t="s">
        <v>346</v>
      </c>
      <c r="B6" s="10" t="s">
        <v>347</v>
      </c>
      <c r="C6" s="10" t="s">
        <v>348</v>
      </c>
      <c r="D6" s="10" t="str">
        <f>"0,5455"</f>
        <v>0,5455</v>
      </c>
      <c r="E6" s="10" t="s">
        <v>101</v>
      </c>
      <c r="F6" s="10" t="s">
        <v>78</v>
      </c>
      <c r="G6" s="11" t="s">
        <v>214</v>
      </c>
      <c r="H6" s="11" t="s">
        <v>215</v>
      </c>
      <c r="I6" s="11" t="s">
        <v>306</v>
      </c>
      <c r="J6" s="12"/>
      <c r="K6" s="11" t="s">
        <v>227</v>
      </c>
      <c r="L6" s="11" t="s">
        <v>212</v>
      </c>
      <c r="M6" s="11" t="s">
        <v>349</v>
      </c>
      <c r="N6" s="12"/>
      <c r="O6" s="11" t="s">
        <v>242</v>
      </c>
      <c r="P6" s="11" t="s">
        <v>350</v>
      </c>
      <c r="Q6" s="12" t="s">
        <v>351</v>
      </c>
      <c r="R6" s="12"/>
      <c r="S6" s="10" t="str">
        <f>"682,5"</f>
        <v>682,5</v>
      </c>
      <c r="T6" s="11" t="str">
        <f>"372,3037"</f>
        <v>372,3037</v>
      </c>
      <c r="U6" s="10" t="s">
        <v>188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284</v>
      </c>
      <c r="B17" s="13"/>
    </row>
    <row r="18" spans="1:2" ht="14.25">
      <c r="A18" s="15"/>
      <c r="B18" s="16" t="s">
        <v>278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44</v>
      </c>
    </row>
    <row r="20" spans="1:5" ht="12.75">
      <c r="A20" s="14" t="s">
        <v>345</v>
      </c>
      <c r="B20" s="4" t="s">
        <v>278</v>
      </c>
      <c r="C20" s="4" t="s">
        <v>292</v>
      </c>
      <c r="D20" s="4" t="s">
        <v>352</v>
      </c>
      <c r="E20" s="18" t="s">
        <v>353</v>
      </c>
    </row>
    <row r="25" spans="1:2" ht="18">
      <c r="A25" s="9" t="s">
        <v>49</v>
      </c>
      <c r="B25" s="9"/>
    </row>
    <row r="26" spans="1:3" ht="15">
      <c r="A26" s="17" t="s">
        <v>50</v>
      </c>
      <c r="B26" s="17" t="s">
        <v>51</v>
      </c>
      <c r="C26" s="17" t="s">
        <v>52</v>
      </c>
    </row>
    <row r="27" spans="1:3" ht="12.75">
      <c r="A27" s="4" t="s">
        <v>101</v>
      </c>
      <c r="B27" s="4" t="s">
        <v>53</v>
      </c>
      <c r="C27" s="4" t="s">
        <v>354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34"/>
  <sheetViews>
    <sheetView zoomScalePageLayoutView="0" workbookViewId="0" topLeftCell="A136">
      <selection activeCell="A1" sqref="A1:U2"/>
    </sheetView>
  </sheetViews>
  <sheetFormatPr defaultColWidth="9.00390625" defaultRowHeight="12.75"/>
  <cols>
    <col min="1" max="1" width="27.25390625" style="4" customWidth="1"/>
    <col min="2" max="2" width="29.00390625" style="4" bestFit="1" customWidth="1"/>
    <col min="3" max="3" width="9.625" style="4" customWidth="1"/>
    <col min="4" max="4" width="9.25390625" style="4" bestFit="1" customWidth="1"/>
    <col min="5" max="5" width="18.625" style="4" customWidth="1"/>
    <col min="6" max="6" width="30.125" style="4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6.125" style="4" bestFit="1" customWidth="1"/>
    <col min="22" max="16384" width="9.125" style="3" customWidth="1"/>
  </cols>
  <sheetData>
    <row r="1" spans="1:21" s="2" customFormat="1" ht="28.5" customHeight="1">
      <c r="A1" s="51" t="s">
        <v>825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20</v>
      </c>
      <c r="H3" s="48"/>
      <c r="I3" s="48"/>
      <c r="J3" s="48"/>
      <c r="K3" s="48" t="s">
        <v>21</v>
      </c>
      <c r="L3" s="48"/>
      <c r="M3" s="48"/>
      <c r="N3" s="48"/>
      <c r="O3" s="48" t="s">
        <v>22</v>
      </c>
      <c r="P3" s="48"/>
      <c r="Q3" s="48"/>
      <c r="R3" s="48"/>
      <c r="S3" s="48" t="s">
        <v>4</v>
      </c>
      <c r="T3" s="48" t="s">
        <v>6</v>
      </c>
      <c r="U3" s="36" t="s">
        <v>5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7"/>
      <c r="T4" s="47"/>
      <c r="U4" s="37"/>
    </row>
    <row r="5" spans="1:20" ht="15">
      <c r="A5" s="49" t="s">
        <v>55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10" t="s">
        <v>57</v>
      </c>
      <c r="B6" s="10" t="s">
        <v>58</v>
      </c>
      <c r="C6" s="10" t="s">
        <v>59</v>
      </c>
      <c r="D6" s="10" t="str">
        <f>"1,1938"</f>
        <v>1,1938</v>
      </c>
      <c r="E6" s="10" t="s">
        <v>60</v>
      </c>
      <c r="F6" s="10" t="s">
        <v>61</v>
      </c>
      <c r="G6" s="11" t="s">
        <v>62</v>
      </c>
      <c r="H6" s="11" t="s">
        <v>63</v>
      </c>
      <c r="I6" s="11" t="s">
        <v>64</v>
      </c>
      <c r="J6" s="12"/>
      <c r="K6" s="11" t="s">
        <v>65</v>
      </c>
      <c r="L6" s="11" t="s">
        <v>66</v>
      </c>
      <c r="M6" s="12" t="s">
        <v>67</v>
      </c>
      <c r="N6" s="12"/>
      <c r="O6" s="11" t="s">
        <v>68</v>
      </c>
      <c r="P6" s="11" t="s">
        <v>69</v>
      </c>
      <c r="Q6" s="11" t="s">
        <v>70</v>
      </c>
      <c r="R6" s="12"/>
      <c r="S6" s="10" t="str">
        <f>"77,5"</f>
        <v>77,5</v>
      </c>
      <c r="T6" s="11" t="str">
        <f>"113,7990"</f>
        <v>113,7990</v>
      </c>
      <c r="U6" s="10" t="s">
        <v>71</v>
      </c>
    </row>
    <row r="8" spans="1:20" ht="15">
      <c r="A8" s="52" t="s">
        <v>72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1" ht="12.75">
      <c r="A9" s="10" t="s">
        <v>74</v>
      </c>
      <c r="B9" s="10" t="s">
        <v>75</v>
      </c>
      <c r="C9" s="10" t="s">
        <v>76</v>
      </c>
      <c r="D9" s="10" t="str">
        <f>"0,9693"</f>
        <v>0,9693</v>
      </c>
      <c r="E9" s="10" t="s">
        <v>77</v>
      </c>
      <c r="F9" s="10" t="s">
        <v>78</v>
      </c>
      <c r="G9" s="11" t="s">
        <v>35</v>
      </c>
      <c r="H9" s="11" t="s">
        <v>31</v>
      </c>
      <c r="I9" s="11" t="s">
        <v>32</v>
      </c>
      <c r="J9" s="12"/>
      <c r="K9" s="11" t="s">
        <v>79</v>
      </c>
      <c r="L9" s="11" t="s">
        <v>80</v>
      </c>
      <c r="M9" s="12" t="s">
        <v>81</v>
      </c>
      <c r="N9" s="12"/>
      <c r="O9" s="11" t="s">
        <v>82</v>
      </c>
      <c r="P9" s="11" t="s">
        <v>83</v>
      </c>
      <c r="Q9" s="12" t="s">
        <v>84</v>
      </c>
      <c r="R9" s="12"/>
      <c r="S9" s="10" t="str">
        <f>"265,0"</f>
        <v>265,0</v>
      </c>
      <c r="T9" s="11" t="str">
        <f>"256,8777"</f>
        <v>256,8777</v>
      </c>
      <c r="U9" s="10" t="s">
        <v>85</v>
      </c>
    </row>
    <row r="11" spans="1:20" ht="15">
      <c r="A11" s="52" t="s">
        <v>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1" ht="12.75">
      <c r="A12" s="19" t="s">
        <v>88</v>
      </c>
      <c r="B12" s="19" t="s">
        <v>89</v>
      </c>
      <c r="C12" s="19" t="s">
        <v>90</v>
      </c>
      <c r="D12" s="19" t="str">
        <f>"0,9229"</f>
        <v>0,9229</v>
      </c>
      <c r="E12" s="19" t="s">
        <v>91</v>
      </c>
      <c r="F12" s="19" t="s">
        <v>29</v>
      </c>
      <c r="G12" s="20" t="s">
        <v>80</v>
      </c>
      <c r="H12" s="20" t="s">
        <v>92</v>
      </c>
      <c r="I12" s="21" t="s">
        <v>93</v>
      </c>
      <c r="J12" s="21"/>
      <c r="K12" s="20" t="s">
        <v>70</v>
      </c>
      <c r="L12" s="20" t="s">
        <v>94</v>
      </c>
      <c r="M12" s="20" t="s">
        <v>95</v>
      </c>
      <c r="N12" s="21"/>
      <c r="O12" s="20" t="s">
        <v>35</v>
      </c>
      <c r="P12" s="20" t="s">
        <v>36</v>
      </c>
      <c r="Q12" s="21" t="s">
        <v>32</v>
      </c>
      <c r="R12" s="21"/>
      <c r="S12" s="19" t="str">
        <f>"200,0"</f>
        <v>200,0</v>
      </c>
      <c r="T12" s="20" t="str">
        <f>"190,1071"</f>
        <v>190,1071</v>
      </c>
      <c r="U12" s="19" t="s">
        <v>96</v>
      </c>
    </row>
    <row r="13" spans="1:21" ht="12.75">
      <c r="A13" s="22" t="s">
        <v>98</v>
      </c>
      <c r="B13" s="22" t="s">
        <v>99</v>
      </c>
      <c r="C13" s="22" t="s">
        <v>100</v>
      </c>
      <c r="D13" s="22" t="str">
        <f>"0,9369"</f>
        <v>0,9369</v>
      </c>
      <c r="E13" s="22" t="s">
        <v>101</v>
      </c>
      <c r="F13" s="22" t="s">
        <v>29</v>
      </c>
      <c r="G13" s="23" t="s">
        <v>81</v>
      </c>
      <c r="H13" s="23" t="s">
        <v>34</v>
      </c>
      <c r="I13" s="24" t="s">
        <v>102</v>
      </c>
      <c r="J13" s="24"/>
      <c r="K13" s="23" t="s">
        <v>70</v>
      </c>
      <c r="L13" s="23" t="s">
        <v>94</v>
      </c>
      <c r="M13" s="23" t="s">
        <v>103</v>
      </c>
      <c r="N13" s="24"/>
      <c r="O13" s="23" t="s">
        <v>102</v>
      </c>
      <c r="P13" s="23" t="s">
        <v>35</v>
      </c>
      <c r="Q13" s="23" t="s">
        <v>104</v>
      </c>
      <c r="R13" s="24"/>
      <c r="S13" s="22" t="str">
        <f>"215,0"</f>
        <v>215,0</v>
      </c>
      <c r="T13" s="23" t="str">
        <f>"201,4335"</f>
        <v>201,4335</v>
      </c>
      <c r="U13" s="22" t="s">
        <v>105</v>
      </c>
    </row>
    <row r="15" spans="1:20" ht="15">
      <c r="A15" s="52" t="s">
        <v>106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1" ht="12.75">
      <c r="A16" s="10" t="s">
        <v>108</v>
      </c>
      <c r="B16" s="10" t="s">
        <v>109</v>
      </c>
      <c r="C16" s="10" t="s">
        <v>110</v>
      </c>
      <c r="D16" s="10" t="str">
        <f>"0,8670"</f>
        <v>0,8670</v>
      </c>
      <c r="E16" s="10" t="s">
        <v>60</v>
      </c>
      <c r="F16" s="10" t="s">
        <v>29</v>
      </c>
      <c r="G16" s="11" t="s">
        <v>33</v>
      </c>
      <c r="H16" s="11" t="s">
        <v>34</v>
      </c>
      <c r="I16" s="11" t="s">
        <v>111</v>
      </c>
      <c r="J16" s="12"/>
      <c r="K16" s="12" t="s">
        <v>112</v>
      </c>
      <c r="L16" s="11" t="s">
        <v>112</v>
      </c>
      <c r="M16" s="11" t="s">
        <v>95</v>
      </c>
      <c r="N16" s="12"/>
      <c r="O16" s="11" t="s">
        <v>113</v>
      </c>
      <c r="P16" s="12" t="s">
        <v>31</v>
      </c>
      <c r="Q16" s="12" t="s">
        <v>31</v>
      </c>
      <c r="R16" s="12"/>
      <c r="S16" s="10" t="str">
        <f>"190,0"</f>
        <v>190,0</v>
      </c>
      <c r="T16" s="11" t="str">
        <f>"169,6719"</f>
        <v>169,6719</v>
      </c>
      <c r="U16" s="10" t="s">
        <v>37</v>
      </c>
    </row>
    <row r="18" spans="1:20" ht="15">
      <c r="A18" s="52" t="s">
        <v>114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1" ht="12.75">
      <c r="A19" s="10" t="s">
        <v>116</v>
      </c>
      <c r="B19" s="10" t="s">
        <v>117</v>
      </c>
      <c r="C19" s="10" t="s">
        <v>118</v>
      </c>
      <c r="D19" s="10" t="str">
        <f>"0,8058"</f>
        <v>0,8058</v>
      </c>
      <c r="E19" s="10" t="s">
        <v>119</v>
      </c>
      <c r="F19" s="10" t="s">
        <v>120</v>
      </c>
      <c r="G19" s="11" t="s">
        <v>70</v>
      </c>
      <c r="H19" s="11" t="s">
        <v>94</v>
      </c>
      <c r="I19" s="12" t="s">
        <v>80</v>
      </c>
      <c r="J19" s="12"/>
      <c r="K19" s="11" t="s">
        <v>62</v>
      </c>
      <c r="L19" s="11" t="s">
        <v>69</v>
      </c>
      <c r="M19" s="12" t="s">
        <v>94</v>
      </c>
      <c r="N19" s="12"/>
      <c r="O19" s="11" t="s">
        <v>121</v>
      </c>
      <c r="P19" s="12" t="s">
        <v>30</v>
      </c>
      <c r="Q19" s="11" t="s">
        <v>122</v>
      </c>
      <c r="R19" s="12"/>
      <c r="S19" s="10" t="str">
        <f>"155,0"</f>
        <v>155,0</v>
      </c>
      <c r="T19" s="11" t="str">
        <f>"153,6162"</f>
        <v>153,6162</v>
      </c>
      <c r="U19" s="10" t="s">
        <v>123</v>
      </c>
    </row>
    <row r="21" spans="1:20" ht="15">
      <c r="A21" s="52" t="s">
        <v>124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1" ht="12.75">
      <c r="A22" s="10" t="s">
        <v>126</v>
      </c>
      <c r="B22" s="10" t="s">
        <v>127</v>
      </c>
      <c r="C22" s="10" t="s">
        <v>128</v>
      </c>
      <c r="D22" s="10" t="str">
        <f>"0,5588"</f>
        <v>0,5588</v>
      </c>
      <c r="E22" s="10" t="s">
        <v>91</v>
      </c>
      <c r="F22" s="10" t="s">
        <v>29</v>
      </c>
      <c r="G22" s="11" t="s">
        <v>129</v>
      </c>
      <c r="H22" s="11" t="s">
        <v>130</v>
      </c>
      <c r="I22" s="11" t="s">
        <v>131</v>
      </c>
      <c r="J22" s="12"/>
      <c r="K22" s="11" t="s">
        <v>113</v>
      </c>
      <c r="L22" s="11" t="s">
        <v>111</v>
      </c>
      <c r="M22" s="11" t="s">
        <v>122</v>
      </c>
      <c r="N22" s="12"/>
      <c r="O22" s="11" t="s">
        <v>132</v>
      </c>
      <c r="P22" s="11" t="s">
        <v>129</v>
      </c>
      <c r="Q22" s="11" t="s">
        <v>133</v>
      </c>
      <c r="R22" s="12"/>
      <c r="S22" s="10" t="str">
        <f>"405,0"</f>
        <v>405,0</v>
      </c>
      <c r="T22" s="11" t="str">
        <f>"233,1034"</f>
        <v>233,1034</v>
      </c>
      <c r="U22" s="10" t="s">
        <v>134</v>
      </c>
    </row>
    <row r="24" spans="1:20" ht="15">
      <c r="A24" s="52" t="s">
        <v>72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1" ht="12.75">
      <c r="A25" s="19" t="s">
        <v>136</v>
      </c>
      <c r="B25" s="19" t="s">
        <v>137</v>
      </c>
      <c r="C25" s="19" t="s">
        <v>138</v>
      </c>
      <c r="D25" s="19" t="str">
        <f>"0,9623"</f>
        <v>0,9623</v>
      </c>
      <c r="E25" s="19" t="s">
        <v>28</v>
      </c>
      <c r="F25" s="19" t="s">
        <v>29</v>
      </c>
      <c r="G25" s="20" t="s">
        <v>102</v>
      </c>
      <c r="H25" s="20" t="s">
        <v>30</v>
      </c>
      <c r="I25" s="20" t="s">
        <v>35</v>
      </c>
      <c r="J25" s="21"/>
      <c r="K25" s="20" t="s">
        <v>139</v>
      </c>
      <c r="L25" s="20" t="s">
        <v>79</v>
      </c>
      <c r="M25" s="21" t="s">
        <v>80</v>
      </c>
      <c r="N25" s="21"/>
      <c r="O25" s="20" t="s">
        <v>31</v>
      </c>
      <c r="P25" s="20" t="s">
        <v>32</v>
      </c>
      <c r="Q25" s="20" t="s">
        <v>83</v>
      </c>
      <c r="R25" s="21"/>
      <c r="S25" s="19" t="str">
        <f>"247,5"</f>
        <v>247,5</v>
      </c>
      <c r="T25" s="20" t="str">
        <f>"292,9482"</f>
        <v>292,9482</v>
      </c>
      <c r="U25" s="19" t="s">
        <v>37</v>
      </c>
    </row>
    <row r="26" spans="1:21" ht="12.75">
      <c r="A26" s="25" t="s">
        <v>141</v>
      </c>
      <c r="B26" s="25" t="s">
        <v>142</v>
      </c>
      <c r="C26" s="25" t="s">
        <v>143</v>
      </c>
      <c r="D26" s="25" t="str">
        <f>"0,9966"</f>
        <v>0,9966</v>
      </c>
      <c r="E26" s="25" t="s">
        <v>60</v>
      </c>
      <c r="F26" s="25" t="s">
        <v>29</v>
      </c>
      <c r="G26" s="26" t="s">
        <v>80</v>
      </c>
      <c r="H26" s="27" t="s">
        <v>92</v>
      </c>
      <c r="I26" s="26" t="s">
        <v>93</v>
      </c>
      <c r="J26" s="27"/>
      <c r="K26" s="26" t="s">
        <v>69</v>
      </c>
      <c r="L26" s="26" t="s">
        <v>112</v>
      </c>
      <c r="M26" s="27" t="s">
        <v>95</v>
      </c>
      <c r="N26" s="27"/>
      <c r="O26" s="26" t="s">
        <v>30</v>
      </c>
      <c r="P26" s="26" t="s">
        <v>144</v>
      </c>
      <c r="Q26" s="26" t="s">
        <v>32</v>
      </c>
      <c r="R26" s="27"/>
      <c r="S26" s="25" t="str">
        <f>"205,0"</f>
        <v>205,0</v>
      </c>
      <c r="T26" s="26" t="str">
        <f>"251,2927"</f>
        <v>251,2927</v>
      </c>
      <c r="U26" s="25" t="s">
        <v>145</v>
      </c>
    </row>
    <row r="27" spans="1:21" ht="12.75">
      <c r="A27" s="25" t="s">
        <v>147</v>
      </c>
      <c r="B27" s="25" t="s">
        <v>148</v>
      </c>
      <c r="C27" s="25" t="s">
        <v>149</v>
      </c>
      <c r="D27" s="25" t="str">
        <f>"1,1181"</f>
        <v>1,1181</v>
      </c>
      <c r="E27" s="25" t="s">
        <v>150</v>
      </c>
      <c r="F27" s="25" t="s">
        <v>61</v>
      </c>
      <c r="G27" s="26" t="s">
        <v>94</v>
      </c>
      <c r="H27" s="26" t="s">
        <v>103</v>
      </c>
      <c r="I27" s="26" t="s">
        <v>151</v>
      </c>
      <c r="J27" s="27"/>
      <c r="K27" s="26" t="s">
        <v>68</v>
      </c>
      <c r="L27" s="26" t="s">
        <v>94</v>
      </c>
      <c r="M27" s="27" t="s">
        <v>103</v>
      </c>
      <c r="N27" s="27"/>
      <c r="O27" s="26" t="s">
        <v>81</v>
      </c>
      <c r="P27" s="26" t="s">
        <v>102</v>
      </c>
      <c r="Q27" s="26" t="s">
        <v>122</v>
      </c>
      <c r="R27" s="27"/>
      <c r="S27" s="25" t="str">
        <f>"180,0"</f>
        <v>180,0</v>
      </c>
      <c r="T27" s="26" t="str">
        <f>"247,5474"</f>
        <v>247,5474</v>
      </c>
      <c r="U27" s="25" t="s">
        <v>152</v>
      </c>
    </row>
    <row r="28" spans="1:21" ht="12.75">
      <c r="A28" s="22" t="s">
        <v>154</v>
      </c>
      <c r="B28" s="22" t="s">
        <v>155</v>
      </c>
      <c r="C28" s="22" t="s">
        <v>156</v>
      </c>
      <c r="D28" s="22" t="str">
        <f>"0,9734"</f>
        <v>0,9734</v>
      </c>
      <c r="E28" s="22" t="s">
        <v>119</v>
      </c>
      <c r="F28" s="22" t="s">
        <v>120</v>
      </c>
      <c r="G28" s="23" t="s">
        <v>68</v>
      </c>
      <c r="H28" s="23" t="s">
        <v>70</v>
      </c>
      <c r="I28" s="23" t="s">
        <v>112</v>
      </c>
      <c r="J28" s="24"/>
      <c r="K28" s="23" t="s">
        <v>63</v>
      </c>
      <c r="L28" s="23" t="s">
        <v>68</v>
      </c>
      <c r="M28" s="24" t="s">
        <v>70</v>
      </c>
      <c r="N28" s="24"/>
      <c r="O28" s="23" t="s">
        <v>102</v>
      </c>
      <c r="P28" s="23" t="s">
        <v>30</v>
      </c>
      <c r="Q28" s="24" t="s">
        <v>35</v>
      </c>
      <c r="R28" s="24"/>
      <c r="S28" s="22" t="str">
        <f>"147,5"</f>
        <v>147,5</v>
      </c>
      <c r="T28" s="23" t="str">
        <f>"176,5991"</f>
        <v>176,5991</v>
      </c>
      <c r="U28" s="22" t="s">
        <v>123</v>
      </c>
    </row>
    <row r="30" spans="1:20" ht="15">
      <c r="A30" s="52" t="s">
        <v>86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1" ht="12.75">
      <c r="A31" s="10" t="s">
        <v>158</v>
      </c>
      <c r="B31" s="10" t="s">
        <v>159</v>
      </c>
      <c r="C31" s="10" t="s">
        <v>160</v>
      </c>
      <c r="D31" s="10" t="str">
        <f>"0,8748"</f>
        <v>0,8748</v>
      </c>
      <c r="E31" s="10" t="s">
        <v>119</v>
      </c>
      <c r="F31" s="10" t="s">
        <v>120</v>
      </c>
      <c r="G31" s="11" t="s">
        <v>81</v>
      </c>
      <c r="H31" s="11" t="s">
        <v>113</v>
      </c>
      <c r="I31" s="11" t="s">
        <v>102</v>
      </c>
      <c r="J31" s="12"/>
      <c r="K31" s="12" t="s">
        <v>103</v>
      </c>
      <c r="L31" s="12" t="s">
        <v>121</v>
      </c>
      <c r="M31" s="11" t="s">
        <v>121</v>
      </c>
      <c r="N31" s="12"/>
      <c r="O31" s="11" t="s">
        <v>82</v>
      </c>
      <c r="P31" s="11" t="s">
        <v>161</v>
      </c>
      <c r="Q31" s="11" t="s">
        <v>83</v>
      </c>
      <c r="R31" s="12"/>
      <c r="S31" s="10" t="str">
        <f>"235,0"</f>
        <v>235,0</v>
      </c>
      <c r="T31" s="11" t="str">
        <f>"222,0242"</f>
        <v>222,0242</v>
      </c>
      <c r="U31" s="10" t="s">
        <v>123</v>
      </c>
    </row>
    <row r="33" spans="1:20" ht="15">
      <c r="A33" s="52" t="s">
        <v>106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1" ht="12.75">
      <c r="A34" s="10" t="s">
        <v>163</v>
      </c>
      <c r="B34" s="10" t="s">
        <v>164</v>
      </c>
      <c r="C34" s="10" t="s">
        <v>110</v>
      </c>
      <c r="D34" s="10" t="str">
        <f>"0,8199"</f>
        <v>0,8199</v>
      </c>
      <c r="E34" s="10" t="s">
        <v>28</v>
      </c>
      <c r="F34" s="10" t="s">
        <v>29</v>
      </c>
      <c r="G34" s="11" t="s">
        <v>102</v>
      </c>
      <c r="H34" s="11" t="s">
        <v>122</v>
      </c>
      <c r="I34" s="12" t="s">
        <v>31</v>
      </c>
      <c r="J34" s="12"/>
      <c r="K34" s="11" t="s">
        <v>81</v>
      </c>
      <c r="L34" s="11" t="s">
        <v>33</v>
      </c>
      <c r="M34" s="11" t="s">
        <v>93</v>
      </c>
      <c r="N34" s="12"/>
      <c r="O34" s="11" t="s">
        <v>31</v>
      </c>
      <c r="P34" s="11" t="s">
        <v>36</v>
      </c>
      <c r="Q34" s="11" t="s">
        <v>82</v>
      </c>
      <c r="R34" s="12"/>
      <c r="S34" s="10" t="str">
        <f>"255,0"</f>
        <v>255,0</v>
      </c>
      <c r="T34" s="11" t="str">
        <f>"236,2542"</f>
        <v>236,2542</v>
      </c>
      <c r="U34" s="10" t="s">
        <v>37</v>
      </c>
    </row>
    <row r="36" spans="1:20" ht="15">
      <c r="A36" s="52" t="s">
        <v>114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1" ht="12.75">
      <c r="A37" s="19" t="s">
        <v>166</v>
      </c>
      <c r="B37" s="19" t="s">
        <v>167</v>
      </c>
      <c r="C37" s="19" t="s">
        <v>168</v>
      </c>
      <c r="D37" s="19" t="str">
        <f>"0,7826"</f>
        <v>0,7826</v>
      </c>
      <c r="E37" s="19" t="s">
        <v>150</v>
      </c>
      <c r="F37" s="19" t="s">
        <v>61</v>
      </c>
      <c r="G37" s="20" t="s">
        <v>80</v>
      </c>
      <c r="H37" s="21" t="s">
        <v>92</v>
      </c>
      <c r="I37" s="21" t="s">
        <v>33</v>
      </c>
      <c r="J37" s="21"/>
      <c r="K37" s="20" t="s">
        <v>70</v>
      </c>
      <c r="L37" s="20" t="s">
        <v>95</v>
      </c>
      <c r="M37" s="20" t="s">
        <v>139</v>
      </c>
      <c r="N37" s="21"/>
      <c r="O37" s="20" t="s">
        <v>113</v>
      </c>
      <c r="P37" s="20" t="s">
        <v>169</v>
      </c>
      <c r="Q37" s="20" t="s">
        <v>104</v>
      </c>
      <c r="R37" s="21"/>
      <c r="S37" s="19" t="str">
        <f>"200,0"</f>
        <v>200,0</v>
      </c>
      <c r="T37" s="20" t="str">
        <f>"192,5196"</f>
        <v>192,5196</v>
      </c>
      <c r="U37" s="19" t="s">
        <v>152</v>
      </c>
    </row>
    <row r="38" spans="1:21" ht="12.75">
      <c r="A38" s="25" t="s">
        <v>171</v>
      </c>
      <c r="B38" s="25" t="s">
        <v>172</v>
      </c>
      <c r="C38" s="25" t="s">
        <v>173</v>
      </c>
      <c r="D38" s="25" t="str">
        <f>"0,7408"</f>
        <v>0,7408</v>
      </c>
      <c r="E38" s="25" t="s">
        <v>150</v>
      </c>
      <c r="F38" s="25" t="s">
        <v>61</v>
      </c>
      <c r="G38" s="26" t="s">
        <v>81</v>
      </c>
      <c r="H38" s="26" t="s">
        <v>93</v>
      </c>
      <c r="I38" s="27" t="s">
        <v>102</v>
      </c>
      <c r="J38" s="27"/>
      <c r="K38" s="26" t="s">
        <v>94</v>
      </c>
      <c r="L38" s="27" t="s">
        <v>95</v>
      </c>
      <c r="M38" s="27" t="s">
        <v>95</v>
      </c>
      <c r="N38" s="27"/>
      <c r="O38" s="26" t="s">
        <v>113</v>
      </c>
      <c r="P38" s="26" t="s">
        <v>122</v>
      </c>
      <c r="Q38" s="26" t="s">
        <v>144</v>
      </c>
      <c r="R38" s="27"/>
      <c r="S38" s="25" t="str">
        <f>"200,0"</f>
        <v>200,0</v>
      </c>
      <c r="T38" s="26" t="str">
        <f>"182,2368"</f>
        <v>182,2368</v>
      </c>
      <c r="U38" s="25" t="s">
        <v>152</v>
      </c>
    </row>
    <row r="39" spans="1:21" ht="12.75">
      <c r="A39" s="22" t="s">
        <v>175</v>
      </c>
      <c r="B39" s="22" t="s">
        <v>176</v>
      </c>
      <c r="C39" s="22" t="s">
        <v>177</v>
      </c>
      <c r="D39" s="22" t="str">
        <f>"0,7398"</f>
        <v>0,7398</v>
      </c>
      <c r="E39" s="22" t="s">
        <v>77</v>
      </c>
      <c r="F39" s="22" t="s">
        <v>78</v>
      </c>
      <c r="G39" s="23" t="s">
        <v>82</v>
      </c>
      <c r="H39" s="23" t="s">
        <v>178</v>
      </c>
      <c r="I39" s="24" t="s">
        <v>84</v>
      </c>
      <c r="J39" s="24"/>
      <c r="K39" s="23" t="s">
        <v>102</v>
      </c>
      <c r="L39" s="23" t="s">
        <v>122</v>
      </c>
      <c r="M39" s="23" t="s">
        <v>169</v>
      </c>
      <c r="N39" s="24"/>
      <c r="O39" s="23" t="s">
        <v>179</v>
      </c>
      <c r="P39" s="23" t="s">
        <v>180</v>
      </c>
      <c r="Q39" s="24" t="s">
        <v>133</v>
      </c>
      <c r="R39" s="24"/>
      <c r="S39" s="22" t="str">
        <f>"352,5"</f>
        <v>352,5</v>
      </c>
      <c r="T39" s="23" t="str">
        <f>"260,7795"</f>
        <v>260,7795</v>
      </c>
      <c r="U39" s="22" t="s">
        <v>181</v>
      </c>
    </row>
    <row r="41" spans="1:20" ht="15">
      <c r="A41" s="52" t="s">
        <v>23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1" ht="12.75">
      <c r="A42" s="19" t="s">
        <v>183</v>
      </c>
      <c r="B42" s="19" t="s">
        <v>184</v>
      </c>
      <c r="C42" s="19" t="s">
        <v>185</v>
      </c>
      <c r="D42" s="19" t="str">
        <f>"0,6939"</f>
        <v>0,6939</v>
      </c>
      <c r="E42" s="19" t="s">
        <v>101</v>
      </c>
      <c r="F42" s="19" t="s">
        <v>186</v>
      </c>
      <c r="G42" s="21" t="s">
        <v>32</v>
      </c>
      <c r="H42" s="20" t="s">
        <v>32</v>
      </c>
      <c r="I42" s="20" t="s">
        <v>178</v>
      </c>
      <c r="J42" s="21"/>
      <c r="K42" s="20" t="s">
        <v>93</v>
      </c>
      <c r="L42" s="21" t="s">
        <v>102</v>
      </c>
      <c r="M42" s="21" t="s">
        <v>102</v>
      </c>
      <c r="N42" s="21"/>
      <c r="O42" s="20" t="s">
        <v>187</v>
      </c>
      <c r="P42" s="20" t="s">
        <v>132</v>
      </c>
      <c r="Q42" s="21" t="s">
        <v>179</v>
      </c>
      <c r="R42" s="21"/>
      <c r="S42" s="19" t="str">
        <f>"320,0"</f>
        <v>320,0</v>
      </c>
      <c r="T42" s="20" t="str">
        <f>"261,9994"</f>
        <v>261,9994</v>
      </c>
      <c r="U42" s="19" t="s">
        <v>188</v>
      </c>
    </row>
    <row r="43" spans="1:21" ht="12.75">
      <c r="A43" s="25" t="s">
        <v>190</v>
      </c>
      <c r="B43" s="25" t="s">
        <v>191</v>
      </c>
      <c r="C43" s="25" t="s">
        <v>192</v>
      </c>
      <c r="D43" s="25" t="str">
        <f>"0,7083"</f>
        <v>0,7083</v>
      </c>
      <c r="E43" s="25" t="s">
        <v>60</v>
      </c>
      <c r="F43" s="25" t="s">
        <v>61</v>
      </c>
      <c r="G43" s="26" t="s">
        <v>83</v>
      </c>
      <c r="H43" s="26" t="s">
        <v>84</v>
      </c>
      <c r="I43" s="26" t="s">
        <v>193</v>
      </c>
      <c r="J43" s="27"/>
      <c r="K43" s="26" t="s">
        <v>113</v>
      </c>
      <c r="L43" s="26" t="s">
        <v>102</v>
      </c>
      <c r="M43" s="26" t="s">
        <v>30</v>
      </c>
      <c r="N43" s="27"/>
      <c r="O43" s="27" t="s">
        <v>84</v>
      </c>
      <c r="P43" s="26" t="s">
        <v>194</v>
      </c>
      <c r="Q43" s="26" t="s">
        <v>187</v>
      </c>
      <c r="R43" s="27"/>
      <c r="S43" s="25" t="str">
        <f>"330,0"</f>
        <v>330,0</v>
      </c>
      <c r="T43" s="26" t="str">
        <f>"247,7633"</f>
        <v>247,7633</v>
      </c>
      <c r="U43" s="25" t="s">
        <v>71</v>
      </c>
    </row>
    <row r="44" spans="1:21" ht="12.75">
      <c r="A44" s="25" t="s">
        <v>196</v>
      </c>
      <c r="B44" s="25" t="s">
        <v>197</v>
      </c>
      <c r="C44" s="25" t="s">
        <v>198</v>
      </c>
      <c r="D44" s="25" t="str">
        <f>"0,7031"</f>
        <v>0,7031</v>
      </c>
      <c r="E44" s="25" t="s">
        <v>91</v>
      </c>
      <c r="F44" s="25" t="s">
        <v>29</v>
      </c>
      <c r="G44" s="26" t="s">
        <v>35</v>
      </c>
      <c r="H44" s="26" t="s">
        <v>31</v>
      </c>
      <c r="I44" s="27" t="s">
        <v>32</v>
      </c>
      <c r="J44" s="27"/>
      <c r="K44" s="26" t="s">
        <v>102</v>
      </c>
      <c r="L44" s="26" t="s">
        <v>35</v>
      </c>
      <c r="M44" s="27" t="s">
        <v>31</v>
      </c>
      <c r="N44" s="27"/>
      <c r="O44" s="26" t="s">
        <v>32</v>
      </c>
      <c r="P44" s="26" t="s">
        <v>84</v>
      </c>
      <c r="Q44" s="26" t="s">
        <v>194</v>
      </c>
      <c r="R44" s="27"/>
      <c r="S44" s="25" t="str">
        <f>"300,0"</f>
        <v>300,0</v>
      </c>
      <c r="T44" s="26" t="str">
        <f>"223,5858"</f>
        <v>223,5858</v>
      </c>
      <c r="U44" s="25" t="s">
        <v>96</v>
      </c>
    </row>
    <row r="45" spans="1:21" ht="12.75">
      <c r="A45" s="22" t="s">
        <v>200</v>
      </c>
      <c r="B45" s="22" t="s">
        <v>201</v>
      </c>
      <c r="C45" s="22" t="s">
        <v>202</v>
      </c>
      <c r="D45" s="22" t="str">
        <f>"0,7101"</f>
        <v>0,7101</v>
      </c>
      <c r="E45" s="22" t="s">
        <v>119</v>
      </c>
      <c r="F45" s="22" t="s">
        <v>120</v>
      </c>
      <c r="G45" s="23" t="s">
        <v>32</v>
      </c>
      <c r="H45" s="23" t="s">
        <v>82</v>
      </c>
      <c r="I45" s="23" t="s">
        <v>83</v>
      </c>
      <c r="J45" s="24"/>
      <c r="K45" s="23" t="s">
        <v>102</v>
      </c>
      <c r="L45" s="24" t="s">
        <v>35</v>
      </c>
      <c r="M45" s="24" t="s">
        <v>35</v>
      </c>
      <c r="N45" s="24"/>
      <c r="O45" s="23" t="s">
        <v>130</v>
      </c>
      <c r="P45" s="23" t="s">
        <v>203</v>
      </c>
      <c r="Q45" s="23" t="s">
        <v>204</v>
      </c>
      <c r="R45" s="24"/>
      <c r="S45" s="22" t="str">
        <f>"362,5"</f>
        <v>362,5</v>
      </c>
      <c r="T45" s="23" t="str">
        <f>"257,4112"</f>
        <v>257,4112</v>
      </c>
      <c r="U45" s="22" t="s">
        <v>205</v>
      </c>
    </row>
    <row r="47" spans="1:20" ht="15">
      <c r="A47" s="52" t="s">
        <v>206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1" ht="12.75">
      <c r="A48" s="19" t="s">
        <v>208</v>
      </c>
      <c r="B48" s="19" t="s">
        <v>209</v>
      </c>
      <c r="C48" s="19" t="s">
        <v>210</v>
      </c>
      <c r="D48" s="19" t="str">
        <f>"0,6193"</f>
        <v>0,6193</v>
      </c>
      <c r="E48" s="19" t="s">
        <v>101</v>
      </c>
      <c r="F48" s="19" t="s">
        <v>186</v>
      </c>
      <c r="G48" s="20" t="s">
        <v>129</v>
      </c>
      <c r="H48" s="20" t="s">
        <v>211</v>
      </c>
      <c r="I48" s="20" t="s">
        <v>212</v>
      </c>
      <c r="J48" s="21"/>
      <c r="K48" s="20" t="s">
        <v>161</v>
      </c>
      <c r="L48" s="20" t="s">
        <v>84</v>
      </c>
      <c r="M48" s="21" t="s">
        <v>193</v>
      </c>
      <c r="N48" s="21"/>
      <c r="O48" s="20" t="s">
        <v>213</v>
      </c>
      <c r="P48" s="20" t="s">
        <v>214</v>
      </c>
      <c r="Q48" s="20" t="s">
        <v>215</v>
      </c>
      <c r="R48" s="21"/>
      <c r="S48" s="19" t="str">
        <f>"525,0"</f>
        <v>525,0</v>
      </c>
      <c r="T48" s="20" t="str">
        <f>"351,1431"</f>
        <v>351,1431</v>
      </c>
      <c r="U48" s="19" t="s">
        <v>188</v>
      </c>
    </row>
    <row r="49" spans="1:21" ht="12.75">
      <c r="A49" s="25" t="s">
        <v>217</v>
      </c>
      <c r="B49" s="25" t="s">
        <v>218</v>
      </c>
      <c r="C49" s="25" t="s">
        <v>219</v>
      </c>
      <c r="D49" s="25" t="str">
        <f>"0,6219"</f>
        <v>0,6219</v>
      </c>
      <c r="E49" s="25" t="s">
        <v>77</v>
      </c>
      <c r="F49" s="25" t="s">
        <v>78</v>
      </c>
      <c r="G49" s="27" t="s">
        <v>179</v>
      </c>
      <c r="H49" s="27" t="s">
        <v>180</v>
      </c>
      <c r="I49" s="26" t="s">
        <v>180</v>
      </c>
      <c r="J49" s="27"/>
      <c r="K49" s="27" t="s">
        <v>193</v>
      </c>
      <c r="L49" s="26" t="s">
        <v>194</v>
      </c>
      <c r="M49" s="26" t="s">
        <v>187</v>
      </c>
      <c r="N49" s="27"/>
      <c r="O49" s="27" t="s">
        <v>220</v>
      </c>
      <c r="P49" s="26" t="s">
        <v>213</v>
      </c>
      <c r="Q49" s="26" t="s">
        <v>221</v>
      </c>
      <c r="R49" s="27"/>
      <c r="S49" s="25" t="str">
        <f>"477,5"</f>
        <v>477,5</v>
      </c>
      <c r="T49" s="26" t="str">
        <f>"296,9573"</f>
        <v>296,9573</v>
      </c>
      <c r="U49" s="25" t="s">
        <v>181</v>
      </c>
    </row>
    <row r="50" spans="1:21" ht="12.75">
      <c r="A50" s="25" t="s">
        <v>223</v>
      </c>
      <c r="B50" s="25" t="s">
        <v>224</v>
      </c>
      <c r="C50" s="25" t="s">
        <v>225</v>
      </c>
      <c r="D50" s="25" t="str">
        <f>"0,6324"</f>
        <v>0,6324</v>
      </c>
      <c r="E50" s="25" t="s">
        <v>60</v>
      </c>
      <c r="F50" s="25" t="s">
        <v>78</v>
      </c>
      <c r="G50" s="27" t="s">
        <v>130</v>
      </c>
      <c r="H50" s="26" t="s">
        <v>131</v>
      </c>
      <c r="I50" s="26" t="s">
        <v>226</v>
      </c>
      <c r="J50" s="27"/>
      <c r="K50" s="26" t="s">
        <v>82</v>
      </c>
      <c r="L50" s="26" t="s">
        <v>83</v>
      </c>
      <c r="M50" s="27" t="s">
        <v>178</v>
      </c>
      <c r="N50" s="27"/>
      <c r="O50" s="26" t="s">
        <v>129</v>
      </c>
      <c r="P50" s="26" t="s">
        <v>130</v>
      </c>
      <c r="Q50" s="26" t="s">
        <v>227</v>
      </c>
      <c r="R50" s="27"/>
      <c r="S50" s="25" t="str">
        <f>"452,5"</f>
        <v>452,5</v>
      </c>
      <c r="T50" s="26" t="str">
        <f>"286,1610"</f>
        <v>286,1610</v>
      </c>
      <c r="U50" s="25" t="s">
        <v>85</v>
      </c>
    </row>
    <row r="51" spans="1:21" ht="12.75">
      <c r="A51" s="22" t="s">
        <v>229</v>
      </c>
      <c r="B51" s="22" t="s">
        <v>230</v>
      </c>
      <c r="C51" s="22" t="s">
        <v>210</v>
      </c>
      <c r="D51" s="22" t="str">
        <f>"0,6193"</f>
        <v>0,6193</v>
      </c>
      <c r="E51" s="22" t="s">
        <v>60</v>
      </c>
      <c r="F51" s="22" t="s">
        <v>231</v>
      </c>
      <c r="G51" s="23" t="s">
        <v>179</v>
      </c>
      <c r="H51" s="24" t="s">
        <v>129</v>
      </c>
      <c r="I51" s="24" t="s">
        <v>129</v>
      </c>
      <c r="J51" s="24"/>
      <c r="K51" s="23" t="s">
        <v>83</v>
      </c>
      <c r="L51" s="23" t="s">
        <v>84</v>
      </c>
      <c r="M51" s="24" t="s">
        <v>193</v>
      </c>
      <c r="N51" s="24"/>
      <c r="O51" s="23" t="s">
        <v>227</v>
      </c>
      <c r="P51" s="23" t="s">
        <v>203</v>
      </c>
      <c r="Q51" s="24"/>
      <c r="R51" s="24"/>
      <c r="S51" s="22" t="str">
        <f>"435,0"</f>
        <v>435,0</v>
      </c>
      <c r="T51" s="23" t="str">
        <f>"345,0956"</f>
        <v>345,0956</v>
      </c>
      <c r="U51" s="22" t="s">
        <v>232</v>
      </c>
    </row>
    <row r="53" spans="1:20" ht="15">
      <c r="A53" s="52" t="s">
        <v>233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1:21" ht="12.75">
      <c r="A54" s="19" t="s">
        <v>235</v>
      </c>
      <c r="B54" s="19" t="s">
        <v>236</v>
      </c>
      <c r="C54" s="19" t="s">
        <v>237</v>
      </c>
      <c r="D54" s="19" t="str">
        <f>"0,5873"</f>
        <v>0,5873</v>
      </c>
      <c r="E54" s="19" t="s">
        <v>60</v>
      </c>
      <c r="F54" s="19" t="s">
        <v>238</v>
      </c>
      <c r="G54" s="20" t="s">
        <v>213</v>
      </c>
      <c r="H54" s="20" t="s">
        <v>239</v>
      </c>
      <c r="I54" s="20" t="s">
        <v>240</v>
      </c>
      <c r="J54" s="21"/>
      <c r="K54" s="20" t="s">
        <v>132</v>
      </c>
      <c r="L54" s="20" t="s">
        <v>129</v>
      </c>
      <c r="M54" s="20" t="s">
        <v>241</v>
      </c>
      <c r="N54" s="21"/>
      <c r="O54" s="20" t="s">
        <v>242</v>
      </c>
      <c r="P54" s="20" t="s">
        <v>243</v>
      </c>
      <c r="Q54" s="21" t="s">
        <v>244</v>
      </c>
      <c r="R54" s="21"/>
      <c r="S54" s="19" t="str">
        <f>"612,5"</f>
        <v>612,5</v>
      </c>
      <c r="T54" s="20" t="str">
        <f>"359,7213"</f>
        <v>359,7213</v>
      </c>
      <c r="U54" s="19" t="s">
        <v>205</v>
      </c>
    </row>
    <row r="55" spans="1:21" ht="12.75">
      <c r="A55" s="22" t="s">
        <v>246</v>
      </c>
      <c r="B55" s="22" t="s">
        <v>247</v>
      </c>
      <c r="C55" s="22" t="s">
        <v>248</v>
      </c>
      <c r="D55" s="22" t="str">
        <f>"0,5865"</f>
        <v>0,5865</v>
      </c>
      <c r="E55" s="22" t="s">
        <v>77</v>
      </c>
      <c r="F55" s="22" t="s">
        <v>78</v>
      </c>
      <c r="G55" s="23" t="s">
        <v>213</v>
      </c>
      <c r="H55" s="23" t="s">
        <v>239</v>
      </c>
      <c r="I55" s="24" t="s">
        <v>240</v>
      </c>
      <c r="J55" s="24"/>
      <c r="K55" s="23" t="s">
        <v>249</v>
      </c>
      <c r="L55" s="23" t="s">
        <v>129</v>
      </c>
      <c r="M55" s="23" t="s">
        <v>133</v>
      </c>
      <c r="N55" s="24"/>
      <c r="O55" s="23" t="s">
        <v>221</v>
      </c>
      <c r="P55" s="23" t="s">
        <v>250</v>
      </c>
      <c r="Q55" s="23" t="s">
        <v>214</v>
      </c>
      <c r="R55" s="24"/>
      <c r="S55" s="22" t="str">
        <f>"577,5"</f>
        <v>577,5</v>
      </c>
      <c r="T55" s="23" t="str">
        <f>"338,7037"</f>
        <v>338,7037</v>
      </c>
      <c r="U55" s="22" t="s">
        <v>181</v>
      </c>
    </row>
    <row r="57" spans="1:20" ht="15">
      <c r="A57" s="52" t="s">
        <v>251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1" ht="12.75">
      <c r="A58" s="10" t="s">
        <v>253</v>
      </c>
      <c r="B58" s="10" t="s">
        <v>254</v>
      </c>
      <c r="C58" s="10" t="s">
        <v>255</v>
      </c>
      <c r="D58" s="10" t="str">
        <f>"0,5568"</f>
        <v>0,5568</v>
      </c>
      <c r="E58" s="10" t="s">
        <v>60</v>
      </c>
      <c r="F58" s="10" t="s">
        <v>256</v>
      </c>
      <c r="G58" s="11" t="s">
        <v>227</v>
      </c>
      <c r="H58" s="11" t="s">
        <v>212</v>
      </c>
      <c r="I58" s="11" t="s">
        <v>213</v>
      </c>
      <c r="J58" s="12"/>
      <c r="K58" s="11" t="s">
        <v>193</v>
      </c>
      <c r="L58" s="11" t="s">
        <v>187</v>
      </c>
      <c r="M58" s="11" t="s">
        <v>132</v>
      </c>
      <c r="N58" s="12"/>
      <c r="O58" s="11" t="s">
        <v>250</v>
      </c>
      <c r="P58" s="11" t="s">
        <v>214</v>
      </c>
      <c r="Q58" s="11" t="s">
        <v>215</v>
      </c>
      <c r="R58" s="12"/>
      <c r="S58" s="10" t="str">
        <f>"560,0"</f>
        <v>560,0</v>
      </c>
      <c r="T58" s="11" t="str">
        <f>"311,8080"</f>
        <v>311,8080</v>
      </c>
      <c r="U58" s="10" t="s">
        <v>205</v>
      </c>
    </row>
    <row r="60" spans="1:20" ht="15">
      <c r="A60" s="52" t="s">
        <v>257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1" ht="12.75">
      <c r="A61" s="10" t="s">
        <v>259</v>
      </c>
      <c r="B61" s="10" t="s">
        <v>260</v>
      </c>
      <c r="C61" s="10" t="s">
        <v>261</v>
      </c>
      <c r="D61" s="10" t="str">
        <f>"0,5448"</f>
        <v>0,5448</v>
      </c>
      <c r="E61" s="10" t="s">
        <v>60</v>
      </c>
      <c r="F61" s="10" t="s">
        <v>29</v>
      </c>
      <c r="G61" s="12" t="s">
        <v>132</v>
      </c>
      <c r="H61" s="11" t="s">
        <v>179</v>
      </c>
      <c r="I61" s="11" t="s">
        <v>130</v>
      </c>
      <c r="J61" s="12"/>
      <c r="K61" s="12" t="s">
        <v>32</v>
      </c>
      <c r="L61" s="11" t="s">
        <v>262</v>
      </c>
      <c r="M61" s="11" t="s">
        <v>83</v>
      </c>
      <c r="N61" s="12"/>
      <c r="O61" s="11" t="s">
        <v>227</v>
      </c>
      <c r="P61" s="11" t="s">
        <v>212</v>
      </c>
      <c r="Q61" s="11" t="s">
        <v>213</v>
      </c>
      <c r="R61" s="12"/>
      <c r="S61" s="10" t="str">
        <f>"460,0"</f>
        <v>460,0</v>
      </c>
      <c r="T61" s="11" t="str">
        <f>"270,6566"</f>
        <v>270,6566</v>
      </c>
      <c r="U61" s="10" t="s">
        <v>205</v>
      </c>
    </row>
    <row r="63" ht="15">
      <c r="E63" s="8" t="s">
        <v>13</v>
      </c>
    </row>
    <row r="64" ht="15">
      <c r="E64" s="8" t="s">
        <v>14</v>
      </c>
    </row>
    <row r="65" ht="15">
      <c r="E65" s="8" t="s">
        <v>15</v>
      </c>
    </row>
    <row r="66" ht="15">
      <c r="E66" s="8" t="s">
        <v>16</v>
      </c>
    </row>
    <row r="67" ht="15">
      <c r="E67" s="8" t="s">
        <v>16</v>
      </c>
    </row>
    <row r="68" ht="15">
      <c r="E68" s="8" t="s">
        <v>17</v>
      </c>
    </row>
    <row r="69" ht="15">
      <c r="E69" s="8"/>
    </row>
    <row r="71" spans="1:2" ht="18">
      <c r="A71" s="9" t="s">
        <v>18</v>
      </c>
      <c r="B71" s="9"/>
    </row>
    <row r="72" spans="1:2" ht="15">
      <c r="A72" s="13" t="s">
        <v>38</v>
      </c>
      <c r="B72" s="13"/>
    </row>
    <row r="73" spans="1:2" ht="14.25">
      <c r="A73" s="15"/>
      <c r="B73" s="16" t="s">
        <v>39</v>
      </c>
    </row>
    <row r="74" spans="1:5" ht="15">
      <c r="A74" s="17" t="s">
        <v>40</v>
      </c>
      <c r="B74" s="17" t="s">
        <v>41</v>
      </c>
      <c r="C74" s="17" t="s">
        <v>42</v>
      </c>
      <c r="D74" s="17" t="s">
        <v>43</v>
      </c>
      <c r="E74" s="17" t="s">
        <v>44</v>
      </c>
    </row>
    <row r="75" spans="1:5" ht="12.75">
      <c r="A75" s="14" t="s">
        <v>115</v>
      </c>
      <c r="B75" s="4" t="s">
        <v>263</v>
      </c>
      <c r="C75" s="4" t="s">
        <v>264</v>
      </c>
      <c r="D75" s="4" t="s">
        <v>241</v>
      </c>
      <c r="E75" s="18" t="s">
        <v>265</v>
      </c>
    </row>
    <row r="76" spans="1:5" ht="12.75">
      <c r="A76" s="14" t="s">
        <v>56</v>
      </c>
      <c r="B76" s="4" t="s">
        <v>266</v>
      </c>
      <c r="C76" s="4" t="s">
        <v>267</v>
      </c>
      <c r="D76" s="4" t="s">
        <v>111</v>
      </c>
      <c r="E76" s="18" t="s">
        <v>268</v>
      </c>
    </row>
    <row r="78" spans="1:2" ht="14.25">
      <c r="A78" s="15"/>
      <c r="B78" s="16" t="s">
        <v>269</v>
      </c>
    </row>
    <row r="79" spans="1:5" ht="15">
      <c r="A79" s="17" t="s">
        <v>40</v>
      </c>
      <c r="B79" s="17" t="s">
        <v>41</v>
      </c>
      <c r="C79" s="17" t="s">
        <v>42</v>
      </c>
      <c r="D79" s="17" t="s">
        <v>43</v>
      </c>
      <c r="E79" s="17" t="s">
        <v>44</v>
      </c>
    </row>
    <row r="80" spans="1:5" ht="12.75">
      <c r="A80" s="14" t="s">
        <v>125</v>
      </c>
      <c r="B80" s="4" t="s">
        <v>270</v>
      </c>
      <c r="C80" s="4" t="s">
        <v>271</v>
      </c>
      <c r="D80" s="4" t="s">
        <v>272</v>
      </c>
      <c r="E80" s="18" t="s">
        <v>273</v>
      </c>
    </row>
    <row r="81" spans="1:5" ht="12.75">
      <c r="A81" s="14" t="s">
        <v>87</v>
      </c>
      <c r="B81" s="4" t="s">
        <v>270</v>
      </c>
      <c r="C81" s="4" t="s">
        <v>274</v>
      </c>
      <c r="D81" s="4" t="s">
        <v>239</v>
      </c>
      <c r="E81" s="18" t="s">
        <v>275</v>
      </c>
    </row>
    <row r="82" spans="1:5" ht="12.75">
      <c r="A82" s="14" t="s">
        <v>107</v>
      </c>
      <c r="B82" s="4" t="s">
        <v>270</v>
      </c>
      <c r="C82" s="4" t="s">
        <v>276</v>
      </c>
      <c r="D82" s="4" t="s">
        <v>213</v>
      </c>
      <c r="E82" s="18" t="s">
        <v>277</v>
      </c>
    </row>
    <row r="84" spans="1:2" ht="14.25">
      <c r="A84" s="15"/>
      <c r="B84" s="16" t="s">
        <v>278</v>
      </c>
    </row>
    <row r="85" spans="1:5" ht="15">
      <c r="A85" s="17" t="s">
        <v>40</v>
      </c>
      <c r="B85" s="17" t="s">
        <v>41</v>
      </c>
      <c r="C85" s="17" t="s">
        <v>42</v>
      </c>
      <c r="D85" s="17" t="s">
        <v>43</v>
      </c>
      <c r="E85" s="17" t="s">
        <v>44</v>
      </c>
    </row>
    <row r="86" spans="1:5" ht="12.75">
      <c r="A86" s="14" t="s">
        <v>73</v>
      </c>
      <c r="B86" s="4" t="s">
        <v>278</v>
      </c>
      <c r="C86" s="4" t="s">
        <v>279</v>
      </c>
      <c r="D86" s="4" t="s">
        <v>280</v>
      </c>
      <c r="E86" s="18" t="s">
        <v>281</v>
      </c>
    </row>
    <row r="87" spans="1:5" ht="12.75">
      <c r="A87" s="14" t="s">
        <v>97</v>
      </c>
      <c r="B87" s="4" t="s">
        <v>278</v>
      </c>
      <c r="C87" s="4" t="s">
        <v>274</v>
      </c>
      <c r="D87" s="4" t="s">
        <v>282</v>
      </c>
      <c r="E87" s="18" t="s">
        <v>283</v>
      </c>
    </row>
    <row r="90" spans="1:2" ht="15">
      <c r="A90" s="13" t="s">
        <v>284</v>
      </c>
      <c r="B90" s="13"/>
    </row>
    <row r="91" spans="1:2" ht="14.25">
      <c r="A91" s="15"/>
      <c r="B91" s="16" t="s">
        <v>285</v>
      </c>
    </row>
    <row r="92" spans="1:5" ht="15">
      <c r="A92" s="17" t="s">
        <v>40</v>
      </c>
      <c r="B92" s="17" t="s">
        <v>41</v>
      </c>
      <c r="C92" s="17" t="s">
        <v>42</v>
      </c>
      <c r="D92" s="17" t="s">
        <v>43</v>
      </c>
      <c r="E92" s="17" t="s">
        <v>44</v>
      </c>
    </row>
    <row r="93" spans="1:5" ht="12.75">
      <c r="A93" s="14" t="s">
        <v>207</v>
      </c>
      <c r="B93" s="4" t="s">
        <v>286</v>
      </c>
      <c r="C93" s="4" t="s">
        <v>287</v>
      </c>
      <c r="D93" s="4" t="s">
        <v>288</v>
      </c>
      <c r="E93" s="18" t="s">
        <v>289</v>
      </c>
    </row>
    <row r="94" spans="1:5" ht="12.75">
      <c r="A94" s="14" t="s">
        <v>135</v>
      </c>
      <c r="B94" s="4" t="s">
        <v>266</v>
      </c>
      <c r="C94" s="4" t="s">
        <v>279</v>
      </c>
      <c r="D94" s="4" t="s">
        <v>290</v>
      </c>
      <c r="E94" s="18" t="s">
        <v>291</v>
      </c>
    </row>
    <row r="95" spans="1:5" ht="12.75">
      <c r="A95" s="14" t="s">
        <v>258</v>
      </c>
      <c r="B95" s="4" t="s">
        <v>286</v>
      </c>
      <c r="C95" s="4" t="s">
        <v>292</v>
      </c>
      <c r="D95" s="4" t="s">
        <v>293</v>
      </c>
      <c r="E95" s="18" t="s">
        <v>294</v>
      </c>
    </row>
    <row r="96" spans="1:5" ht="12.75">
      <c r="A96" s="14" t="s">
        <v>182</v>
      </c>
      <c r="B96" s="4" t="s">
        <v>263</v>
      </c>
      <c r="C96" s="4" t="s">
        <v>46</v>
      </c>
      <c r="D96" s="4" t="s">
        <v>295</v>
      </c>
      <c r="E96" s="18" t="s">
        <v>296</v>
      </c>
    </row>
    <row r="97" spans="1:5" ht="12.75">
      <c r="A97" s="14" t="s">
        <v>140</v>
      </c>
      <c r="B97" s="4" t="s">
        <v>266</v>
      </c>
      <c r="C97" s="4" t="s">
        <v>279</v>
      </c>
      <c r="D97" s="4" t="s">
        <v>297</v>
      </c>
      <c r="E97" s="18" t="s">
        <v>298</v>
      </c>
    </row>
    <row r="98" spans="1:5" ht="12.75">
      <c r="A98" s="14" t="s">
        <v>189</v>
      </c>
      <c r="B98" s="4" t="s">
        <v>45</v>
      </c>
      <c r="C98" s="4" t="s">
        <v>46</v>
      </c>
      <c r="D98" s="4" t="s">
        <v>299</v>
      </c>
      <c r="E98" s="18" t="s">
        <v>300</v>
      </c>
    </row>
    <row r="99" spans="1:5" ht="12.75">
      <c r="A99" s="14" t="s">
        <v>146</v>
      </c>
      <c r="B99" s="4" t="s">
        <v>266</v>
      </c>
      <c r="C99" s="4" t="s">
        <v>279</v>
      </c>
      <c r="D99" s="4" t="s">
        <v>212</v>
      </c>
      <c r="E99" s="18" t="s">
        <v>301</v>
      </c>
    </row>
    <row r="100" spans="1:5" ht="12.75">
      <c r="A100" s="14" t="s">
        <v>162</v>
      </c>
      <c r="B100" s="4" t="s">
        <v>286</v>
      </c>
      <c r="C100" s="4" t="s">
        <v>276</v>
      </c>
      <c r="D100" s="4" t="s">
        <v>302</v>
      </c>
      <c r="E100" s="18" t="s">
        <v>303</v>
      </c>
    </row>
    <row r="101" spans="1:5" ht="12.75">
      <c r="A101" s="14" t="s">
        <v>195</v>
      </c>
      <c r="B101" s="4" t="s">
        <v>45</v>
      </c>
      <c r="C101" s="4" t="s">
        <v>46</v>
      </c>
      <c r="D101" s="4" t="s">
        <v>304</v>
      </c>
      <c r="E101" s="18" t="s">
        <v>305</v>
      </c>
    </row>
    <row r="102" spans="1:5" ht="12.75">
      <c r="A102" s="14" t="s">
        <v>157</v>
      </c>
      <c r="B102" s="4" t="s">
        <v>286</v>
      </c>
      <c r="C102" s="4" t="s">
        <v>274</v>
      </c>
      <c r="D102" s="4" t="s">
        <v>306</v>
      </c>
      <c r="E102" s="18" t="s">
        <v>307</v>
      </c>
    </row>
    <row r="103" spans="1:5" ht="12.75">
      <c r="A103" s="14" t="s">
        <v>165</v>
      </c>
      <c r="B103" s="4" t="s">
        <v>266</v>
      </c>
      <c r="C103" s="4" t="s">
        <v>264</v>
      </c>
      <c r="D103" s="4" t="s">
        <v>239</v>
      </c>
      <c r="E103" s="18" t="s">
        <v>308</v>
      </c>
    </row>
    <row r="104" spans="1:5" ht="12.75">
      <c r="A104" s="14" t="s">
        <v>170</v>
      </c>
      <c r="B104" s="4" t="s">
        <v>266</v>
      </c>
      <c r="C104" s="4" t="s">
        <v>264</v>
      </c>
      <c r="D104" s="4" t="s">
        <v>239</v>
      </c>
      <c r="E104" s="18" t="s">
        <v>309</v>
      </c>
    </row>
    <row r="105" spans="1:5" ht="12.75">
      <c r="A105" s="14" t="s">
        <v>153</v>
      </c>
      <c r="B105" s="4" t="s">
        <v>266</v>
      </c>
      <c r="C105" s="4" t="s">
        <v>279</v>
      </c>
      <c r="D105" s="4" t="s">
        <v>310</v>
      </c>
      <c r="E105" s="18" t="s">
        <v>311</v>
      </c>
    </row>
    <row r="107" spans="1:2" ht="14.25">
      <c r="A107" s="15"/>
      <c r="B107" s="16" t="s">
        <v>312</v>
      </c>
    </row>
    <row r="108" spans="1:5" ht="15">
      <c r="A108" s="17" t="s">
        <v>40</v>
      </c>
      <c r="B108" s="17" t="s">
        <v>41</v>
      </c>
      <c r="C108" s="17" t="s">
        <v>42</v>
      </c>
      <c r="D108" s="17" t="s">
        <v>43</v>
      </c>
      <c r="E108" s="17" t="s">
        <v>44</v>
      </c>
    </row>
    <row r="109" spans="1:5" ht="12.75">
      <c r="A109" s="14" t="s">
        <v>199</v>
      </c>
      <c r="B109" s="4" t="s">
        <v>270</v>
      </c>
      <c r="C109" s="4" t="s">
        <v>46</v>
      </c>
      <c r="D109" s="4" t="s">
        <v>313</v>
      </c>
      <c r="E109" s="18" t="s">
        <v>314</v>
      </c>
    </row>
    <row r="111" spans="1:2" ht="14.25">
      <c r="A111" s="15"/>
      <c r="B111" s="16" t="s">
        <v>278</v>
      </c>
    </row>
    <row r="112" spans="1:5" ht="15">
      <c r="A112" s="17" t="s">
        <v>40</v>
      </c>
      <c r="B112" s="17" t="s">
        <v>41</v>
      </c>
      <c r="C112" s="17" t="s">
        <v>42</v>
      </c>
      <c r="D112" s="17" t="s">
        <v>43</v>
      </c>
      <c r="E112" s="17" t="s">
        <v>44</v>
      </c>
    </row>
    <row r="113" spans="1:5" ht="12.75">
      <c r="A113" s="14" t="s">
        <v>234</v>
      </c>
      <c r="B113" s="4" t="s">
        <v>278</v>
      </c>
      <c r="C113" s="4" t="s">
        <v>315</v>
      </c>
      <c r="D113" s="4" t="s">
        <v>316</v>
      </c>
      <c r="E113" s="18" t="s">
        <v>317</v>
      </c>
    </row>
    <row r="114" spans="1:5" ht="12.75">
      <c r="A114" s="14" t="s">
        <v>245</v>
      </c>
      <c r="B114" s="4" t="s">
        <v>278</v>
      </c>
      <c r="C114" s="4" t="s">
        <v>315</v>
      </c>
      <c r="D114" s="4" t="s">
        <v>318</v>
      </c>
      <c r="E114" s="18" t="s">
        <v>319</v>
      </c>
    </row>
    <row r="115" spans="1:5" ht="12.75">
      <c r="A115" s="14" t="s">
        <v>252</v>
      </c>
      <c r="B115" s="4" t="s">
        <v>278</v>
      </c>
      <c r="C115" s="4" t="s">
        <v>320</v>
      </c>
      <c r="D115" s="4" t="s">
        <v>321</v>
      </c>
      <c r="E115" s="18" t="s">
        <v>322</v>
      </c>
    </row>
    <row r="116" spans="1:5" ht="12.75">
      <c r="A116" s="14" t="s">
        <v>216</v>
      </c>
      <c r="B116" s="4" t="s">
        <v>278</v>
      </c>
      <c r="C116" s="4" t="s">
        <v>287</v>
      </c>
      <c r="D116" s="4" t="s">
        <v>323</v>
      </c>
      <c r="E116" s="18" t="s">
        <v>324</v>
      </c>
    </row>
    <row r="117" spans="1:5" ht="12.75">
      <c r="A117" s="14" t="s">
        <v>222</v>
      </c>
      <c r="B117" s="4" t="s">
        <v>278</v>
      </c>
      <c r="C117" s="4" t="s">
        <v>287</v>
      </c>
      <c r="D117" s="4" t="s">
        <v>325</v>
      </c>
      <c r="E117" s="18" t="s">
        <v>326</v>
      </c>
    </row>
    <row r="118" spans="1:5" ht="12.75">
      <c r="A118" s="14" t="s">
        <v>174</v>
      </c>
      <c r="B118" s="4" t="s">
        <v>278</v>
      </c>
      <c r="C118" s="4" t="s">
        <v>264</v>
      </c>
      <c r="D118" s="4" t="s">
        <v>327</v>
      </c>
      <c r="E118" s="18" t="s">
        <v>328</v>
      </c>
    </row>
    <row r="120" spans="1:2" ht="14.25">
      <c r="A120" s="15"/>
      <c r="B120" s="16" t="s">
        <v>329</v>
      </c>
    </row>
    <row r="121" spans="1:5" ht="15">
      <c r="A121" s="17" t="s">
        <v>40</v>
      </c>
      <c r="B121" s="17" t="s">
        <v>41</v>
      </c>
      <c r="C121" s="17" t="s">
        <v>42</v>
      </c>
      <c r="D121" s="17" t="s">
        <v>43</v>
      </c>
      <c r="E121" s="17" t="s">
        <v>44</v>
      </c>
    </row>
    <row r="122" spans="1:5" ht="12.75">
      <c r="A122" s="14" t="s">
        <v>228</v>
      </c>
      <c r="B122" s="4" t="s">
        <v>330</v>
      </c>
      <c r="C122" s="4" t="s">
        <v>287</v>
      </c>
      <c r="D122" s="4" t="s">
        <v>331</v>
      </c>
      <c r="E122" s="18" t="s">
        <v>332</v>
      </c>
    </row>
    <row r="127" spans="1:2" ht="18">
      <c r="A127" s="9" t="s">
        <v>49</v>
      </c>
      <c r="B127" s="9"/>
    </row>
    <row r="128" spans="1:3" ht="15">
      <c r="A128" s="17" t="s">
        <v>50</v>
      </c>
      <c r="B128" s="17" t="s">
        <v>51</v>
      </c>
      <c r="C128" s="17" t="s">
        <v>52</v>
      </c>
    </row>
    <row r="129" spans="1:3" ht="12.75">
      <c r="A129" s="4" t="s">
        <v>77</v>
      </c>
      <c r="B129" s="4" t="s">
        <v>333</v>
      </c>
      <c r="C129" s="4" t="s">
        <v>334</v>
      </c>
    </row>
    <row r="130" spans="1:3" ht="12.75">
      <c r="A130" s="4" t="s">
        <v>119</v>
      </c>
      <c r="B130" s="4" t="s">
        <v>335</v>
      </c>
      <c r="C130" s="4" t="s">
        <v>336</v>
      </c>
    </row>
    <row r="131" spans="1:3" ht="12.75">
      <c r="A131" s="4" t="s">
        <v>101</v>
      </c>
      <c r="B131" s="4" t="s">
        <v>337</v>
      </c>
      <c r="C131" s="4" t="s">
        <v>338</v>
      </c>
    </row>
    <row r="132" spans="1:3" ht="12.75">
      <c r="A132" s="4" t="s">
        <v>91</v>
      </c>
      <c r="B132" s="4" t="s">
        <v>339</v>
      </c>
      <c r="C132" s="4" t="s">
        <v>340</v>
      </c>
    </row>
    <row r="133" spans="1:3" ht="12.75">
      <c r="A133" s="4" t="s">
        <v>150</v>
      </c>
      <c r="B133" s="4" t="s">
        <v>341</v>
      </c>
      <c r="C133" s="4" t="s">
        <v>342</v>
      </c>
    </row>
    <row r="134" spans="1:3" ht="12.75">
      <c r="A134" s="4" t="s">
        <v>28</v>
      </c>
      <c r="B134" s="4" t="s">
        <v>343</v>
      </c>
      <c r="C134" s="4" t="s">
        <v>344</v>
      </c>
    </row>
  </sheetData>
  <sheetProtection/>
  <mergeCells count="28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60:T60"/>
    <mergeCell ref="A15:T15"/>
    <mergeCell ref="A18:T18"/>
    <mergeCell ref="A21:T21"/>
    <mergeCell ref="A24:T24"/>
    <mergeCell ref="A30:T30"/>
    <mergeCell ref="A33:T33"/>
    <mergeCell ref="A36:T36"/>
    <mergeCell ref="A41:T41"/>
    <mergeCell ref="A47:T47"/>
    <mergeCell ref="A53:T53"/>
    <mergeCell ref="A57:T5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17.25390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6" width="4.625" style="3" bestFit="1" customWidth="1"/>
    <col min="17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1.625" style="4" bestFit="1" customWidth="1"/>
    <col min="22" max="16384" width="9.125" style="3" customWidth="1"/>
  </cols>
  <sheetData>
    <row r="1" spans="1:21" s="2" customFormat="1" ht="28.5" customHeight="1">
      <c r="A1" s="51" t="s">
        <v>824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10</v>
      </c>
      <c r="C3" s="46" t="s">
        <v>11</v>
      </c>
      <c r="D3" s="48" t="s">
        <v>19</v>
      </c>
      <c r="E3" s="48" t="s">
        <v>7</v>
      </c>
      <c r="F3" s="48" t="s">
        <v>12</v>
      </c>
      <c r="G3" s="48" t="s">
        <v>20</v>
      </c>
      <c r="H3" s="48"/>
      <c r="I3" s="48"/>
      <c r="J3" s="48"/>
      <c r="K3" s="48" t="s">
        <v>21</v>
      </c>
      <c r="L3" s="48"/>
      <c r="M3" s="48"/>
      <c r="N3" s="48"/>
      <c r="O3" s="48" t="s">
        <v>22</v>
      </c>
      <c r="P3" s="48"/>
      <c r="Q3" s="48"/>
      <c r="R3" s="48"/>
      <c r="S3" s="48" t="s">
        <v>4</v>
      </c>
      <c r="T3" s="48" t="s">
        <v>6</v>
      </c>
      <c r="U3" s="36" t="s">
        <v>5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7"/>
      <c r="T4" s="47"/>
      <c r="U4" s="37"/>
    </row>
    <row r="5" spans="1:20" ht="15">
      <c r="A5" s="49" t="s">
        <v>23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10" t="s">
        <v>25</v>
      </c>
      <c r="B6" s="10" t="s">
        <v>26</v>
      </c>
      <c r="C6" s="10" t="s">
        <v>27</v>
      </c>
      <c r="D6" s="10" t="str">
        <f>"0,7516"</f>
        <v>0,7516</v>
      </c>
      <c r="E6" s="10" t="s">
        <v>28</v>
      </c>
      <c r="F6" s="10" t="s">
        <v>29</v>
      </c>
      <c r="G6" s="11" t="s">
        <v>30</v>
      </c>
      <c r="H6" s="11" t="s">
        <v>31</v>
      </c>
      <c r="I6" s="11" t="s">
        <v>32</v>
      </c>
      <c r="J6" s="12"/>
      <c r="K6" s="11" t="s">
        <v>33</v>
      </c>
      <c r="L6" s="11" t="s">
        <v>34</v>
      </c>
      <c r="M6" s="11" t="s">
        <v>30</v>
      </c>
      <c r="N6" s="12"/>
      <c r="O6" s="11" t="s">
        <v>35</v>
      </c>
      <c r="P6" s="11" t="s">
        <v>36</v>
      </c>
      <c r="Q6" s="12" t="s">
        <v>32</v>
      </c>
      <c r="R6" s="12"/>
      <c r="S6" s="10" t="str">
        <f>"275,0"</f>
        <v>275,0</v>
      </c>
      <c r="T6" s="11" t="str">
        <f>"219,0914"</f>
        <v>219,0914</v>
      </c>
      <c r="U6" s="10" t="s">
        <v>37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38</v>
      </c>
      <c r="B17" s="13"/>
    </row>
    <row r="18" spans="1:2" ht="14.25">
      <c r="A18" s="15"/>
      <c r="B18" s="16" t="s">
        <v>39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44</v>
      </c>
    </row>
    <row r="20" spans="1:5" ht="12.75">
      <c r="A20" s="14" t="s">
        <v>24</v>
      </c>
      <c r="B20" s="4" t="s">
        <v>45</v>
      </c>
      <c r="C20" s="4" t="s">
        <v>46</v>
      </c>
      <c r="D20" s="4" t="s">
        <v>47</v>
      </c>
      <c r="E20" s="18" t="s">
        <v>48</v>
      </c>
    </row>
    <row r="25" spans="1:2" ht="18">
      <c r="A25" s="9" t="s">
        <v>49</v>
      </c>
      <c r="B25" s="9"/>
    </row>
    <row r="26" spans="1:3" ht="15">
      <c r="A26" s="17" t="s">
        <v>50</v>
      </c>
      <c r="B26" s="17" t="s">
        <v>51</v>
      </c>
      <c r="C26" s="17" t="s">
        <v>52</v>
      </c>
    </row>
    <row r="27" spans="1:3" ht="12.75">
      <c r="A27" s="4" t="s">
        <v>28</v>
      </c>
      <c r="B27" s="4" t="s">
        <v>53</v>
      </c>
      <c r="C27" s="4" t="s">
        <v>54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5.75390625" style="4" bestFit="1" customWidth="1"/>
    <col min="4" max="4" width="10.625" style="4" bestFit="1" customWidth="1"/>
    <col min="5" max="5" width="22.75390625" style="4" bestFit="1" customWidth="1"/>
    <col min="6" max="6" width="27.625" style="4" bestFit="1" customWidth="1"/>
    <col min="7" max="7" width="5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805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730</v>
      </c>
      <c r="E3" s="48" t="s">
        <v>7</v>
      </c>
      <c r="F3" s="48" t="s">
        <v>12</v>
      </c>
      <c r="G3" s="48" t="s">
        <v>781</v>
      </c>
      <c r="H3" s="48"/>
      <c r="I3" s="48" t="s">
        <v>695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693</v>
      </c>
      <c r="H4" s="28" t="s">
        <v>694</v>
      </c>
      <c r="I4" s="47"/>
      <c r="J4" s="47"/>
      <c r="K4" s="37"/>
    </row>
    <row r="5" spans="1:10" ht="15">
      <c r="A5" s="49" t="s">
        <v>732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797</v>
      </c>
      <c r="B6" s="10" t="s">
        <v>798</v>
      </c>
      <c r="C6" s="10" t="s">
        <v>799</v>
      </c>
      <c r="D6" s="10" t="str">
        <f>"1,0000"</f>
        <v>1,0000</v>
      </c>
      <c r="E6" s="10" t="s">
        <v>150</v>
      </c>
      <c r="F6" s="10" t="s">
        <v>61</v>
      </c>
      <c r="G6" s="11" t="s">
        <v>32</v>
      </c>
      <c r="H6" s="30" t="s">
        <v>62</v>
      </c>
      <c r="I6" s="10" t="str">
        <f>"2000,0"</f>
        <v>2000,0</v>
      </c>
      <c r="J6" s="11" t="str">
        <f>"28,9855"</f>
        <v>28,9855</v>
      </c>
      <c r="K6" s="10" t="s">
        <v>205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38</v>
      </c>
      <c r="B17" s="13"/>
    </row>
    <row r="18" spans="1:2" ht="14.25">
      <c r="A18" s="15"/>
      <c r="B18" s="16" t="s">
        <v>329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737</v>
      </c>
    </row>
    <row r="20" spans="1:5" ht="12.75">
      <c r="A20" s="14" t="s">
        <v>796</v>
      </c>
      <c r="B20" s="4" t="s">
        <v>491</v>
      </c>
      <c r="C20" s="4" t="s">
        <v>738</v>
      </c>
      <c r="D20" s="4" t="s">
        <v>747</v>
      </c>
      <c r="E20" s="18" t="s">
        <v>800</v>
      </c>
    </row>
    <row r="25" spans="1:2" ht="18">
      <c r="A25" s="9" t="s">
        <v>49</v>
      </c>
      <c r="B25" s="9"/>
    </row>
    <row r="26" spans="1:3" ht="15">
      <c r="A26" s="17" t="s">
        <v>50</v>
      </c>
      <c r="B26" s="17" t="s">
        <v>51</v>
      </c>
      <c r="C26" s="17" t="s">
        <v>52</v>
      </c>
    </row>
    <row r="27" spans="1:3" ht="12.75">
      <c r="A27" s="4" t="s">
        <v>150</v>
      </c>
      <c r="B27" s="4" t="s">
        <v>53</v>
      </c>
      <c r="C27" s="4" t="s">
        <v>801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31.875" style="4" bestFit="1" customWidth="1"/>
    <col min="2" max="2" width="28.375" style="4" bestFit="1" customWidth="1"/>
    <col min="3" max="3" width="15.00390625" style="4" bestFit="1" customWidth="1"/>
    <col min="4" max="4" width="10.625" style="4" bestFit="1" customWidth="1"/>
    <col min="5" max="5" width="22.75390625" style="4" bestFit="1" customWidth="1"/>
    <col min="6" max="6" width="32.25390625" style="4" bestFit="1" customWidth="1"/>
    <col min="7" max="7" width="5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806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730</v>
      </c>
      <c r="E3" s="48" t="s">
        <v>7</v>
      </c>
      <c r="F3" s="48" t="s">
        <v>12</v>
      </c>
      <c r="G3" s="48" t="s">
        <v>781</v>
      </c>
      <c r="H3" s="48"/>
      <c r="I3" s="48" t="s">
        <v>695</v>
      </c>
      <c r="J3" s="48" t="s">
        <v>6</v>
      </c>
      <c r="K3" s="36" t="s">
        <v>5</v>
      </c>
    </row>
    <row r="4" spans="1:11" s="1" customFormat="1" ht="31.5" customHeight="1" thickBot="1">
      <c r="A4" s="45"/>
      <c r="B4" s="47"/>
      <c r="C4" s="47"/>
      <c r="D4" s="47"/>
      <c r="E4" s="47"/>
      <c r="F4" s="47"/>
      <c r="G4" s="7" t="s">
        <v>693</v>
      </c>
      <c r="H4" s="28" t="s">
        <v>694</v>
      </c>
      <c r="I4" s="47"/>
      <c r="J4" s="47"/>
      <c r="K4" s="37"/>
    </row>
    <row r="5" spans="1:10" ht="15">
      <c r="A5" s="49" t="s">
        <v>732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9" t="s">
        <v>200</v>
      </c>
      <c r="B6" s="19" t="s">
        <v>201</v>
      </c>
      <c r="C6" s="19" t="s">
        <v>403</v>
      </c>
      <c r="D6" s="19" t="str">
        <f>"1,0000"</f>
        <v>1,0000</v>
      </c>
      <c r="E6" s="19" t="s">
        <v>119</v>
      </c>
      <c r="F6" s="19" t="s">
        <v>120</v>
      </c>
      <c r="G6" s="20" t="s">
        <v>32</v>
      </c>
      <c r="H6" s="31" t="s">
        <v>785</v>
      </c>
      <c r="I6" s="19" t="str">
        <f>"2200,0"</f>
        <v>2200,0</v>
      </c>
      <c r="J6" s="20" t="str">
        <f>"31,5186"</f>
        <v>31,5186</v>
      </c>
      <c r="K6" s="19" t="s">
        <v>205</v>
      </c>
    </row>
    <row r="7" spans="1:11" ht="12.75">
      <c r="A7" s="22" t="s">
        <v>787</v>
      </c>
      <c r="B7" s="22" t="s">
        <v>788</v>
      </c>
      <c r="C7" s="22" t="s">
        <v>789</v>
      </c>
      <c r="D7" s="22" t="str">
        <f>"1,0000"</f>
        <v>1,0000</v>
      </c>
      <c r="E7" s="22" t="s">
        <v>60</v>
      </c>
      <c r="F7" s="22" t="s">
        <v>231</v>
      </c>
      <c r="G7" s="23" t="s">
        <v>32</v>
      </c>
      <c r="H7" s="33" t="s">
        <v>790</v>
      </c>
      <c r="I7" s="22" t="str">
        <f>"3800,0"</f>
        <v>3800,0</v>
      </c>
      <c r="J7" s="23" t="str">
        <f>"51,2129"</f>
        <v>51,2129</v>
      </c>
      <c r="K7" s="22" t="s">
        <v>205</v>
      </c>
    </row>
    <row r="9" ht="15">
      <c r="E9" s="8" t="s">
        <v>13</v>
      </c>
    </row>
    <row r="10" ht="15">
      <c r="E10" s="8" t="s">
        <v>14</v>
      </c>
    </row>
    <row r="11" ht="15">
      <c r="E11" s="8" t="s">
        <v>15</v>
      </c>
    </row>
    <row r="12" ht="15">
      <c r="E12" s="8" t="s">
        <v>16</v>
      </c>
    </row>
    <row r="13" ht="15">
      <c r="E13" s="8" t="s">
        <v>16</v>
      </c>
    </row>
    <row r="14" ht="15">
      <c r="E14" s="8" t="s">
        <v>17</v>
      </c>
    </row>
    <row r="15" ht="15">
      <c r="E15" s="8"/>
    </row>
    <row r="17" spans="1:2" ht="18">
      <c r="A17" s="9" t="s">
        <v>18</v>
      </c>
      <c r="B17" s="9"/>
    </row>
    <row r="18" spans="1:2" ht="15">
      <c r="A18" s="13" t="s">
        <v>284</v>
      </c>
      <c r="B18" s="13"/>
    </row>
    <row r="19" spans="1:2" ht="14.25">
      <c r="A19" s="15"/>
      <c r="B19" s="16" t="s">
        <v>312</v>
      </c>
    </row>
    <row r="20" spans="1:5" ht="15">
      <c r="A20" s="17" t="s">
        <v>40</v>
      </c>
      <c r="B20" s="17" t="s">
        <v>41</v>
      </c>
      <c r="C20" s="17" t="s">
        <v>42</v>
      </c>
      <c r="D20" s="17" t="s">
        <v>43</v>
      </c>
      <c r="E20" s="17" t="s">
        <v>737</v>
      </c>
    </row>
    <row r="21" spans="1:5" ht="12.75">
      <c r="A21" s="14" t="s">
        <v>199</v>
      </c>
      <c r="B21" s="4" t="s">
        <v>270</v>
      </c>
      <c r="C21" s="4" t="s">
        <v>738</v>
      </c>
      <c r="D21" s="4" t="s">
        <v>791</v>
      </c>
      <c r="E21" s="18" t="s">
        <v>792</v>
      </c>
    </row>
    <row r="23" spans="1:2" ht="14.25">
      <c r="A23" s="15"/>
      <c r="B23" s="16" t="s">
        <v>278</v>
      </c>
    </row>
    <row r="24" spans="1:5" ht="15">
      <c r="A24" s="17" t="s">
        <v>40</v>
      </c>
      <c r="B24" s="17" t="s">
        <v>41</v>
      </c>
      <c r="C24" s="17" t="s">
        <v>42</v>
      </c>
      <c r="D24" s="17" t="s">
        <v>43</v>
      </c>
      <c r="E24" s="17" t="s">
        <v>737</v>
      </c>
    </row>
    <row r="25" spans="1:5" ht="12.75">
      <c r="A25" s="14" t="s">
        <v>786</v>
      </c>
      <c r="B25" s="4" t="s">
        <v>278</v>
      </c>
      <c r="C25" s="4" t="s">
        <v>738</v>
      </c>
      <c r="D25" s="4" t="s">
        <v>793</v>
      </c>
      <c r="E25" s="18" t="s">
        <v>794</v>
      </c>
    </row>
    <row r="30" spans="1:2" ht="18">
      <c r="A30" s="9" t="s">
        <v>49</v>
      </c>
      <c r="B30" s="9"/>
    </row>
    <row r="31" spans="1:3" ht="15">
      <c r="A31" s="17" t="s">
        <v>50</v>
      </c>
      <c r="B31" s="17" t="s">
        <v>51</v>
      </c>
      <c r="C31" s="17" t="s">
        <v>52</v>
      </c>
    </row>
    <row r="32" spans="1:3" ht="12.75">
      <c r="A32" s="4" t="s">
        <v>119</v>
      </c>
      <c r="B32" s="4" t="s">
        <v>53</v>
      </c>
      <c r="C32" s="4" t="s">
        <v>795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10.625" style="4" bestFit="1" customWidth="1"/>
    <col min="5" max="5" width="22.75390625" style="4" bestFit="1" customWidth="1"/>
    <col min="6" max="6" width="27.625" style="4" bestFit="1" customWidth="1"/>
    <col min="7" max="7" width="4.625" style="3" bestFit="1" customWidth="1"/>
    <col min="8" max="8" width="2.125" style="29" bestFit="1" customWidth="1"/>
    <col min="9" max="9" width="7.875" style="4" bestFit="1" customWidth="1"/>
    <col min="10" max="10" width="6.625" style="3" bestFit="1" customWidth="1"/>
    <col min="11" max="11" width="11.00390625" style="4" bestFit="1" customWidth="1"/>
    <col min="12" max="16384" width="9.125" style="3" customWidth="1"/>
  </cols>
  <sheetData>
    <row r="1" spans="1:11" s="2" customFormat="1" ht="28.5" customHeight="1">
      <c r="A1" s="51" t="s">
        <v>807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730</v>
      </c>
      <c r="E3" s="48" t="s">
        <v>7</v>
      </c>
      <c r="F3" s="48" t="s">
        <v>12</v>
      </c>
      <c r="G3" s="48" t="s">
        <v>781</v>
      </c>
      <c r="H3" s="48"/>
      <c r="I3" s="48" t="s">
        <v>695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693</v>
      </c>
      <c r="H4" s="28" t="s">
        <v>694</v>
      </c>
      <c r="I4" s="47"/>
      <c r="J4" s="47"/>
      <c r="K4" s="37"/>
    </row>
    <row r="5" spans="1:10" ht="15">
      <c r="A5" s="49" t="s">
        <v>732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782</v>
      </c>
      <c r="B6" s="10" t="s">
        <v>783</v>
      </c>
      <c r="C6" s="10" t="s">
        <v>784</v>
      </c>
      <c r="D6" s="10" t="str">
        <f>"1,0000"</f>
        <v>1,0000</v>
      </c>
      <c r="E6" s="10" t="s">
        <v>150</v>
      </c>
      <c r="F6" s="10" t="s">
        <v>61</v>
      </c>
      <c r="G6" s="12" t="s">
        <v>102</v>
      </c>
      <c r="H6" s="30"/>
      <c r="I6" s="10" t="str">
        <f>"0.00"</f>
        <v>0.00</v>
      </c>
      <c r="J6" s="11" t="str">
        <f>"0,0000"</f>
        <v>0,0000</v>
      </c>
      <c r="K6" s="10" t="s">
        <v>429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75390625" style="4" bestFit="1" customWidth="1"/>
    <col min="4" max="4" width="10.625" style="4" bestFit="1" customWidth="1"/>
    <col min="5" max="5" width="22.75390625" style="4" bestFit="1" customWidth="1"/>
    <col min="6" max="6" width="38.25390625" style="4" bestFit="1" customWidth="1"/>
    <col min="7" max="7" width="5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808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730</v>
      </c>
      <c r="E3" s="48" t="s">
        <v>7</v>
      </c>
      <c r="F3" s="48" t="s">
        <v>12</v>
      </c>
      <c r="G3" s="48" t="s">
        <v>731</v>
      </c>
      <c r="H3" s="48"/>
      <c r="I3" s="48" t="s">
        <v>695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693</v>
      </c>
      <c r="H4" s="28" t="s">
        <v>694</v>
      </c>
      <c r="I4" s="47"/>
      <c r="J4" s="47"/>
      <c r="K4" s="37"/>
    </row>
    <row r="5" spans="1:10" ht="15">
      <c r="A5" s="49" t="s">
        <v>732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774</v>
      </c>
      <c r="B6" s="10" t="s">
        <v>775</v>
      </c>
      <c r="C6" s="10" t="s">
        <v>776</v>
      </c>
      <c r="D6" s="10" t="str">
        <f>"1,0000"</f>
        <v>1,0000</v>
      </c>
      <c r="E6" s="10" t="s">
        <v>91</v>
      </c>
      <c r="F6" s="10" t="s">
        <v>777</v>
      </c>
      <c r="G6" s="11" t="s">
        <v>32</v>
      </c>
      <c r="H6" s="30" t="s">
        <v>63</v>
      </c>
      <c r="I6" s="10" t="str">
        <f>"2500,0"</f>
        <v>2500,0</v>
      </c>
      <c r="J6" s="11" t="str">
        <f>"33,3778"</f>
        <v>33,3778</v>
      </c>
      <c r="K6" s="10" t="s">
        <v>205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284</v>
      </c>
      <c r="B17" s="13"/>
    </row>
    <row r="18" spans="1:2" ht="14.25">
      <c r="A18" s="15"/>
      <c r="B18" s="16" t="s">
        <v>278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737</v>
      </c>
    </row>
    <row r="20" spans="1:5" ht="12.75">
      <c r="A20" s="14" t="s">
        <v>773</v>
      </c>
      <c r="B20" s="4" t="s">
        <v>278</v>
      </c>
      <c r="C20" s="4" t="s">
        <v>738</v>
      </c>
      <c r="D20" s="4" t="s">
        <v>778</v>
      </c>
      <c r="E20" s="18" t="s">
        <v>779</v>
      </c>
    </row>
    <row r="25" spans="1:2" ht="18">
      <c r="A25" s="9" t="s">
        <v>49</v>
      </c>
      <c r="B25" s="9"/>
    </row>
    <row r="26" spans="1:3" ht="15">
      <c r="A26" s="17" t="s">
        <v>50</v>
      </c>
      <c r="B26" s="17" t="s">
        <v>51</v>
      </c>
      <c r="C26" s="17" t="s">
        <v>52</v>
      </c>
    </row>
    <row r="27" spans="1:3" ht="12.75">
      <c r="A27" s="4" t="s">
        <v>91</v>
      </c>
      <c r="B27" s="4" t="s">
        <v>53</v>
      </c>
      <c r="C27" s="4" t="s">
        <v>780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75390625" style="4" bestFit="1" customWidth="1"/>
    <col min="4" max="4" width="10.625" style="4" bestFit="1" customWidth="1"/>
    <col min="5" max="5" width="22.75390625" style="4" bestFit="1" customWidth="1"/>
    <col min="6" max="6" width="32.25390625" style="4" bestFit="1" customWidth="1"/>
    <col min="7" max="7" width="4.625" style="3" bestFit="1" customWidth="1"/>
    <col min="8" max="8" width="5.625" style="2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1" t="s">
        <v>750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730</v>
      </c>
      <c r="E3" s="48" t="s">
        <v>7</v>
      </c>
      <c r="F3" s="48" t="s">
        <v>12</v>
      </c>
      <c r="G3" s="48" t="s">
        <v>731</v>
      </c>
      <c r="H3" s="48"/>
      <c r="I3" s="48" t="s">
        <v>695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693</v>
      </c>
      <c r="H4" s="28" t="s">
        <v>694</v>
      </c>
      <c r="I4" s="47"/>
      <c r="J4" s="47"/>
      <c r="K4" s="37"/>
    </row>
    <row r="5" spans="1:10" ht="15">
      <c r="A5" s="49" t="s">
        <v>732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9" t="s">
        <v>752</v>
      </c>
      <c r="B6" s="19" t="s">
        <v>753</v>
      </c>
      <c r="C6" s="19" t="s">
        <v>754</v>
      </c>
      <c r="D6" s="19" t="str">
        <f>"1,0000"</f>
        <v>1,0000</v>
      </c>
      <c r="E6" s="19" t="s">
        <v>60</v>
      </c>
      <c r="F6" s="19" t="s">
        <v>231</v>
      </c>
      <c r="G6" s="20" t="s">
        <v>80</v>
      </c>
      <c r="H6" s="31" t="s">
        <v>84</v>
      </c>
      <c r="I6" s="19" t="str">
        <f>"6325,0"</f>
        <v>6325,0</v>
      </c>
      <c r="J6" s="20" t="str">
        <f>"80,1647"</f>
        <v>80,1647</v>
      </c>
      <c r="K6" s="19" t="s">
        <v>205</v>
      </c>
    </row>
    <row r="7" spans="1:11" ht="12.75">
      <c r="A7" s="25" t="s">
        <v>756</v>
      </c>
      <c r="B7" s="25" t="s">
        <v>757</v>
      </c>
      <c r="C7" s="25" t="s">
        <v>758</v>
      </c>
      <c r="D7" s="25" t="str">
        <f>"1,0000"</f>
        <v>1,0000</v>
      </c>
      <c r="E7" s="25" t="s">
        <v>91</v>
      </c>
      <c r="F7" s="25" t="s">
        <v>29</v>
      </c>
      <c r="G7" s="26" t="s">
        <v>80</v>
      </c>
      <c r="H7" s="32" t="s">
        <v>759</v>
      </c>
      <c r="I7" s="25" t="str">
        <f>"2860,0"</f>
        <v>2860,0</v>
      </c>
      <c r="J7" s="26" t="str">
        <f>"39,8328"</f>
        <v>39,8328</v>
      </c>
      <c r="K7" s="25" t="s">
        <v>205</v>
      </c>
    </row>
    <row r="8" spans="1:11" ht="12.75">
      <c r="A8" s="22" t="s">
        <v>761</v>
      </c>
      <c r="B8" s="22" t="s">
        <v>762</v>
      </c>
      <c r="C8" s="22" t="s">
        <v>763</v>
      </c>
      <c r="D8" s="22" t="str">
        <f>"1,0000"</f>
        <v>1,0000</v>
      </c>
      <c r="E8" s="22" t="s">
        <v>150</v>
      </c>
      <c r="F8" s="22" t="s">
        <v>61</v>
      </c>
      <c r="G8" s="23" t="s">
        <v>80</v>
      </c>
      <c r="H8" s="33" t="s">
        <v>103</v>
      </c>
      <c r="I8" s="22" t="str">
        <f>"2475,0"</f>
        <v>2475,0</v>
      </c>
      <c r="J8" s="23" t="str">
        <f>"30,4428"</f>
        <v>30,4428</v>
      </c>
      <c r="K8" s="22" t="s">
        <v>205</v>
      </c>
    </row>
    <row r="10" ht="15">
      <c r="E10" s="8" t="s">
        <v>13</v>
      </c>
    </row>
    <row r="11" ht="15">
      <c r="E11" s="8" t="s">
        <v>14</v>
      </c>
    </row>
    <row r="12" ht="15">
      <c r="E12" s="8" t="s">
        <v>15</v>
      </c>
    </row>
    <row r="13" ht="15">
      <c r="E13" s="8" t="s">
        <v>16</v>
      </c>
    </row>
    <row r="14" ht="15">
      <c r="E14" s="8" t="s">
        <v>16</v>
      </c>
    </row>
    <row r="15" ht="15">
      <c r="E15" s="8" t="s">
        <v>17</v>
      </c>
    </row>
    <row r="16" ht="15">
      <c r="E16" s="8"/>
    </row>
    <row r="18" spans="1:2" ht="18">
      <c r="A18" s="9" t="s">
        <v>18</v>
      </c>
      <c r="B18" s="9"/>
    </row>
    <row r="19" spans="1:2" ht="15">
      <c r="A19" s="13" t="s">
        <v>284</v>
      </c>
      <c r="B19" s="13"/>
    </row>
    <row r="20" spans="1:2" ht="14.25">
      <c r="A20" s="15"/>
      <c r="B20" s="16" t="s">
        <v>278</v>
      </c>
    </row>
    <row r="21" spans="1:5" ht="15">
      <c r="A21" s="17" t="s">
        <v>40</v>
      </c>
      <c r="B21" s="17" t="s">
        <v>41</v>
      </c>
      <c r="C21" s="17" t="s">
        <v>42</v>
      </c>
      <c r="D21" s="17" t="s">
        <v>43</v>
      </c>
      <c r="E21" s="17" t="s">
        <v>737</v>
      </c>
    </row>
    <row r="22" spans="1:5" ht="12.75">
      <c r="A22" s="14" t="s">
        <v>751</v>
      </c>
      <c r="B22" s="4" t="s">
        <v>278</v>
      </c>
      <c r="C22" s="4" t="s">
        <v>738</v>
      </c>
      <c r="D22" s="4" t="s">
        <v>764</v>
      </c>
      <c r="E22" s="18" t="s">
        <v>765</v>
      </c>
    </row>
    <row r="23" spans="1:5" ht="12.75">
      <c r="A23" s="14" t="s">
        <v>755</v>
      </c>
      <c r="B23" s="4" t="s">
        <v>278</v>
      </c>
      <c r="C23" s="4" t="s">
        <v>738</v>
      </c>
      <c r="D23" s="4" t="s">
        <v>766</v>
      </c>
      <c r="E23" s="18" t="s">
        <v>767</v>
      </c>
    </row>
    <row r="24" spans="1:5" ht="12.75">
      <c r="A24" s="14" t="s">
        <v>760</v>
      </c>
      <c r="B24" s="4" t="s">
        <v>278</v>
      </c>
      <c r="C24" s="4" t="s">
        <v>738</v>
      </c>
      <c r="D24" s="4" t="s">
        <v>768</v>
      </c>
      <c r="E24" s="18" t="s">
        <v>769</v>
      </c>
    </row>
    <row r="29" spans="1:2" ht="18">
      <c r="A29" s="9" t="s">
        <v>49</v>
      </c>
      <c r="B29" s="9"/>
    </row>
    <row r="30" spans="1:3" ht="15">
      <c r="A30" s="17" t="s">
        <v>50</v>
      </c>
      <c r="B30" s="17" t="s">
        <v>51</v>
      </c>
      <c r="C30" s="17" t="s">
        <v>52</v>
      </c>
    </row>
    <row r="31" spans="1:3" ht="12.75">
      <c r="A31" s="4" t="s">
        <v>91</v>
      </c>
      <c r="B31" s="4" t="s">
        <v>635</v>
      </c>
      <c r="C31" s="4" t="s">
        <v>770</v>
      </c>
    </row>
    <row r="32" spans="1:3" ht="12.75">
      <c r="A32" s="4" t="s">
        <v>150</v>
      </c>
      <c r="B32" s="4" t="s">
        <v>771</v>
      </c>
      <c r="C32" s="4" t="s">
        <v>772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9.75390625" style="4" bestFit="1" customWidth="1"/>
    <col min="4" max="4" width="10.625" style="4" bestFit="1" customWidth="1"/>
    <col min="5" max="5" width="22.75390625" style="4" bestFit="1" customWidth="1"/>
    <col min="6" max="6" width="37.25390625" style="4" bestFit="1" customWidth="1"/>
    <col min="7" max="7" width="5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10.375" style="4" bestFit="1" customWidth="1"/>
    <col min="12" max="16384" width="9.125" style="3" customWidth="1"/>
  </cols>
  <sheetData>
    <row r="1" spans="1:11" s="2" customFormat="1" ht="28.5" customHeight="1">
      <c r="A1" s="51" t="s">
        <v>809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730</v>
      </c>
      <c r="E3" s="48" t="s">
        <v>7</v>
      </c>
      <c r="F3" s="48" t="s">
        <v>12</v>
      </c>
      <c r="G3" s="48" t="s">
        <v>731</v>
      </c>
      <c r="H3" s="48"/>
      <c r="I3" s="48" t="s">
        <v>695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693</v>
      </c>
      <c r="H4" s="28" t="s">
        <v>694</v>
      </c>
      <c r="I4" s="47"/>
      <c r="J4" s="47"/>
      <c r="K4" s="37"/>
    </row>
    <row r="5" spans="1:10" ht="15">
      <c r="A5" s="49" t="s">
        <v>732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743</v>
      </c>
      <c r="B6" s="10" t="s">
        <v>744</v>
      </c>
      <c r="C6" s="10" t="s">
        <v>745</v>
      </c>
      <c r="D6" s="10" t="str">
        <f>"1,0000"</f>
        <v>1,0000</v>
      </c>
      <c r="E6" s="10" t="s">
        <v>101</v>
      </c>
      <c r="F6" s="10" t="s">
        <v>186</v>
      </c>
      <c r="G6" s="11" t="s">
        <v>194</v>
      </c>
      <c r="H6" s="30" t="s">
        <v>746</v>
      </c>
      <c r="I6" s="10" t="str">
        <f>"2000,0"</f>
        <v>2000,0</v>
      </c>
      <c r="J6" s="11" t="str">
        <f>"20,2429"</f>
        <v>20,2429</v>
      </c>
      <c r="K6" s="10" t="s">
        <v>188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284</v>
      </c>
      <c r="B17" s="13"/>
    </row>
    <row r="18" spans="1:2" ht="14.25">
      <c r="A18" s="15"/>
      <c r="B18" s="16" t="s">
        <v>278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737</v>
      </c>
    </row>
    <row r="20" spans="1:5" ht="12.75">
      <c r="A20" s="14" t="s">
        <v>742</v>
      </c>
      <c r="B20" s="4" t="s">
        <v>278</v>
      </c>
      <c r="C20" s="4" t="s">
        <v>738</v>
      </c>
      <c r="D20" s="4" t="s">
        <v>747</v>
      </c>
      <c r="E20" s="18" t="s">
        <v>748</v>
      </c>
    </row>
    <row r="25" spans="1:2" ht="18">
      <c r="A25" s="9" t="s">
        <v>49</v>
      </c>
      <c r="B25" s="9"/>
    </row>
    <row r="26" spans="1:3" ht="15">
      <c r="A26" s="17" t="s">
        <v>50</v>
      </c>
      <c r="B26" s="17" t="s">
        <v>51</v>
      </c>
      <c r="C26" s="17" t="s">
        <v>52</v>
      </c>
    </row>
    <row r="27" spans="1:3" ht="12.75">
      <c r="A27" s="4" t="s">
        <v>101</v>
      </c>
      <c r="B27" s="4" t="s">
        <v>53</v>
      </c>
      <c r="C27" s="4" t="s">
        <v>749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9.25390625" style="4" bestFit="1" customWidth="1"/>
    <col min="4" max="4" width="10.625" style="4" bestFit="1" customWidth="1"/>
    <col min="5" max="5" width="22.75390625" style="4" bestFit="1" customWidth="1"/>
    <col min="6" max="6" width="27.625" style="4" bestFit="1" customWidth="1"/>
    <col min="7" max="7" width="4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11.00390625" style="4" bestFit="1" customWidth="1"/>
    <col min="12" max="16384" width="9.125" style="3" customWidth="1"/>
  </cols>
  <sheetData>
    <row r="1" spans="1:11" s="2" customFormat="1" ht="28.5" customHeight="1">
      <c r="A1" s="51" t="s">
        <v>810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730</v>
      </c>
      <c r="E3" s="48" t="s">
        <v>7</v>
      </c>
      <c r="F3" s="48" t="s">
        <v>12</v>
      </c>
      <c r="G3" s="48" t="s">
        <v>731</v>
      </c>
      <c r="H3" s="48"/>
      <c r="I3" s="48" t="s">
        <v>695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693</v>
      </c>
      <c r="H4" s="28" t="s">
        <v>694</v>
      </c>
      <c r="I4" s="47"/>
      <c r="J4" s="47"/>
      <c r="K4" s="37"/>
    </row>
    <row r="5" spans="1:10" ht="15">
      <c r="A5" s="49" t="s">
        <v>732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734</v>
      </c>
      <c r="B6" s="10" t="s">
        <v>735</v>
      </c>
      <c r="C6" s="10" t="s">
        <v>736</v>
      </c>
      <c r="D6" s="10" t="str">
        <f>"1,0000"</f>
        <v>1,0000</v>
      </c>
      <c r="E6" s="10" t="s">
        <v>150</v>
      </c>
      <c r="F6" s="10" t="s">
        <v>61</v>
      </c>
      <c r="G6" s="11" t="s">
        <v>80</v>
      </c>
      <c r="H6" s="30" t="s">
        <v>121</v>
      </c>
      <c r="I6" s="10" t="str">
        <f>"2750,0"</f>
        <v>2750,0</v>
      </c>
      <c r="J6" s="11" t="str">
        <f>"30,7950"</f>
        <v>30,7950</v>
      </c>
      <c r="K6" s="10" t="s">
        <v>429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13" t="s">
        <v>284</v>
      </c>
      <c r="B17" s="13"/>
    </row>
    <row r="18" spans="1:2" ht="14.25">
      <c r="A18" s="15"/>
      <c r="B18" s="16" t="s">
        <v>278</v>
      </c>
    </row>
    <row r="19" spans="1:5" ht="15">
      <c r="A19" s="17" t="s">
        <v>40</v>
      </c>
      <c r="B19" s="17" t="s">
        <v>41</v>
      </c>
      <c r="C19" s="17" t="s">
        <v>42</v>
      </c>
      <c r="D19" s="17" t="s">
        <v>43</v>
      </c>
      <c r="E19" s="17" t="s">
        <v>737</v>
      </c>
    </row>
    <row r="20" spans="1:5" ht="12.75">
      <c r="A20" s="14" t="s">
        <v>733</v>
      </c>
      <c r="B20" s="4" t="s">
        <v>278</v>
      </c>
      <c r="C20" s="4" t="s">
        <v>738</v>
      </c>
      <c r="D20" s="4" t="s">
        <v>739</v>
      </c>
      <c r="E20" s="18" t="s">
        <v>740</v>
      </c>
    </row>
    <row r="25" spans="1:2" ht="18">
      <c r="A25" s="9" t="s">
        <v>49</v>
      </c>
      <c r="B25" s="9"/>
    </row>
    <row r="26" spans="1:3" ht="15">
      <c r="A26" s="17" t="s">
        <v>50</v>
      </c>
      <c r="B26" s="17" t="s">
        <v>51</v>
      </c>
      <c r="C26" s="17" t="s">
        <v>52</v>
      </c>
    </row>
    <row r="27" spans="1:3" ht="12.75">
      <c r="A27" s="4" t="s">
        <v>150</v>
      </c>
      <c r="B27" s="4" t="s">
        <v>53</v>
      </c>
      <c r="C27" s="4" t="s">
        <v>741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2019-12-25T07:06:30Z</dcterms:modified>
  <cp:category/>
  <cp:version/>
  <cp:contentType/>
  <cp:contentStatus/>
</cp:coreProperties>
</file>